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FAMILIA AGAMEZ NUÑEZ\Documents\JOB\SCRD 2022\SCRD\OTIC\Mapa de Riesgos\"/>
    </mc:Choice>
  </mc:AlternateContent>
  <xr:revisionPtr revIDLastSave="0" documentId="13_ncr:1_{20B4C094-8212-4FCB-BE13-A51D55D48465}"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r:id="rId8"/>
    <sheet name="Opciones Tratamiento" sheetId="16" r:id="rId9"/>
    <sheet name="Hoja1" sheetId="11" state="hidden" r:id="rId10"/>
  </sheets>
  <calcPr calcId="181029"/>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2" i="1" l="1"/>
  <c r="J12" i="1"/>
  <c r="S11" i="1"/>
  <c r="J11" i="1"/>
  <c r="G26" i="21"/>
  <c r="V11" i="1" l="1"/>
  <c r="K11" i="1"/>
  <c r="M16" i="1"/>
  <c r="M26" i="1"/>
  <c r="M49" i="1"/>
  <c r="M31" i="1"/>
  <c r="M67" i="1"/>
  <c r="M34" i="1"/>
  <c r="M52" i="1"/>
  <c r="M32" i="1"/>
  <c r="M66" i="1"/>
  <c r="M28" i="1"/>
  <c r="M48" i="1"/>
  <c r="M61" i="1"/>
  <c r="M59" i="1"/>
  <c r="M46" i="1"/>
  <c r="M40" i="1"/>
  <c r="M41" i="1"/>
  <c r="M24" i="1"/>
  <c r="M29" i="1"/>
  <c r="M18" i="1"/>
  <c r="M30" i="1"/>
  <c r="M23" i="1"/>
  <c r="M43" i="1"/>
  <c r="M58" i="1"/>
  <c r="M53" i="1"/>
  <c r="M55" i="1"/>
  <c r="M20" i="1"/>
  <c r="M19" i="1"/>
  <c r="M50" i="1"/>
  <c r="M38" i="1"/>
  <c r="M35" i="1"/>
  <c r="M60" i="1"/>
  <c r="M37" i="1"/>
  <c r="M54" i="1"/>
  <c r="M56" i="1"/>
  <c r="M68" i="1"/>
  <c r="M47" i="1"/>
  <c r="M64" i="1"/>
  <c r="M17" i="1"/>
  <c r="M22" i="1"/>
  <c r="M44" i="1"/>
  <c r="M65" i="1"/>
  <c r="M25" i="1"/>
  <c r="M62" i="1"/>
  <c r="M36" i="1"/>
  <c r="M42" i="1"/>
  <c r="F221" i="13" l="1"/>
  <c r="F211" i="13"/>
  <c r="F212" i="13"/>
  <c r="F213" i="13"/>
  <c r="F214" i="13"/>
  <c r="F215" i="13"/>
  <c r="F216" i="13"/>
  <c r="F217" i="13"/>
  <c r="F218" i="13"/>
  <c r="F219" i="13"/>
  <c r="F220" i="13"/>
  <c r="F210" i="13"/>
  <c r="M14" i="1"/>
  <c r="M13" i="1"/>
  <c r="M12" i="1"/>
  <c r="B221" i="13" a="1"/>
  <c r="B221" i="13" l="1"/>
  <c r="S51" i="1"/>
  <c r="S46" i="1"/>
  <c r="S40"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V68" i="1" l="1"/>
  <c r="S68" i="1"/>
  <c r="V67" i="1"/>
  <c r="S67" i="1"/>
  <c r="V66" i="1"/>
  <c r="S66" i="1"/>
  <c r="V65" i="1"/>
  <c r="S65" i="1"/>
  <c r="V64" i="1"/>
  <c r="S64" i="1"/>
  <c r="V63" i="1"/>
  <c r="S63" i="1"/>
  <c r="J63" i="1"/>
  <c r="K63" i="1" s="1"/>
  <c r="V62" i="1"/>
  <c r="S62" i="1"/>
  <c r="V61" i="1"/>
  <c r="S61" i="1"/>
  <c r="V60" i="1"/>
  <c r="S60" i="1"/>
  <c r="V59" i="1"/>
  <c r="S59" i="1"/>
  <c r="V58" i="1"/>
  <c r="S58" i="1"/>
  <c r="V57" i="1"/>
  <c r="S57" i="1"/>
  <c r="J57" i="1"/>
  <c r="K57" i="1" s="1"/>
  <c r="V56" i="1"/>
  <c r="S56" i="1"/>
  <c r="V55" i="1"/>
  <c r="S55" i="1"/>
  <c r="V54" i="1"/>
  <c r="S54" i="1"/>
  <c r="V53" i="1"/>
  <c r="S53" i="1"/>
  <c r="V52" i="1"/>
  <c r="S52" i="1"/>
  <c r="AD52" i="1" s="1"/>
  <c r="V51" i="1"/>
  <c r="J51" i="1"/>
  <c r="K51" i="1" s="1"/>
  <c r="V50" i="1"/>
  <c r="S50" i="1"/>
  <c r="V49" i="1"/>
  <c r="S49" i="1"/>
  <c r="V48" i="1"/>
  <c r="S48" i="1"/>
  <c r="V47" i="1"/>
  <c r="S47" i="1"/>
  <c r="V46" i="1"/>
  <c r="V45" i="1"/>
  <c r="S45" i="1"/>
  <c r="AD46" i="1" s="1"/>
  <c r="J45" i="1"/>
  <c r="K45" i="1" s="1"/>
  <c r="V44" i="1"/>
  <c r="S44" i="1"/>
  <c r="V43" i="1"/>
  <c r="S43" i="1"/>
  <c r="V42" i="1"/>
  <c r="S42" i="1"/>
  <c r="V41" i="1"/>
  <c r="S41" i="1"/>
  <c r="V40" i="1"/>
  <c r="V39" i="1"/>
  <c r="S39" i="1"/>
  <c r="AD40" i="1" s="1"/>
  <c r="J39" i="1"/>
  <c r="K39" i="1" s="1"/>
  <c r="V38" i="1"/>
  <c r="S38" i="1"/>
  <c r="V37" i="1"/>
  <c r="S37" i="1"/>
  <c r="V36" i="1"/>
  <c r="S36" i="1"/>
  <c r="V35" i="1"/>
  <c r="S35" i="1"/>
  <c r="V34" i="1"/>
  <c r="S34" i="1"/>
  <c r="V33" i="1"/>
  <c r="S33" i="1"/>
  <c r="J33" i="1"/>
  <c r="K33" i="1" s="1"/>
  <c r="V32" i="1"/>
  <c r="S32" i="1"/>
  <c r="V31" i="1"/>
  <c r="S31" i="1"/>
  <c r="V30" i="1"/>
  <c r="S30" i="1"/>
  <c r="V29" i="1"/>
  <c r="S29" i="1"/>
  <c r="V28" i="1"/>
  <c r="S28" i="1"/>
  <c r="V27" i="1"/>
  <c r="S27" i="1"/>
  <c r="J27" i="1"/>
  <c r="K27" i="1" s="1"/>
  <c r="V26" i="1"/>
  <c r="S26" i="1"/>
  <c r="V25" i="1"/>
  <c r="S25" i="1"/>
  <c r="V24" i="1"/>
  <c r="S24" i="1"/>
  <c r="V23" i="1"/>
  <c r="S23" i="1"/>
  <c r="V22" i="1"/>
  <c r="S22" i="1"/>
  <c r="V21" i="1"/>
  <c r="S21" i="1"/>
  <c r="J21" i="1"/>
  <c r="K21" i="1" s="1"/>
  <c r="J15" i="1"/>
  <c r="S14" i="1"/>
  <c r="S13" i="1"/>
  <c r="V20" i="1"/>
  <c r="S20" i="1"/>
  <c r="V19" i="1"/>
  <c r="S19" i="1"/>
  <c r="V18" i="1"/>
  <c r="S18" i="1"/>
  <c r="V17" i="1"/>
  <c r="S17" i="1"/>
  <c r="V16" i="1"/>
  <c r="S16" i="1"/>
  <c r="V15" i="1"/>
  <c r="S15" i="1"/>
  <c r="AD22" i="1" l="1"/>
  <c r="AD28" i="1"/>
  <c r="AD64" i="1"/>
  <c r="AD16" i="1"/>
  <c r="AD34" i="1"/>
  <c r="AD58" i="1"/>
  <c r="AD49" i="1"/>
  <c r="AC49" i="1" s="1"/>
  <c r="AD50" i="1"/>
  <c r="AC50" i="1" s="1"/>
  <c r="K15" i="1"/>
  <c r="Z63" i="1"/>
  <c r="Z57" i="1"/>
  <c r="Z51" i="1"/>
  <c r="Z45" i="1"/>
  <c r="Z49" i="1"/>
  <c r="Z50" i="1"/>
  <c r="Z39" i="1"/>
  <c r="Z33" i="1"/>
  <c r="Z27" i="1"/>
  <c r="Z21" i="1"/>
  <c r="Z15" i="1"/>
  <c r="AA63" i="1" l="1"/>
  <c r="AB63" i="1"/>
  <c r="Z64" i="1" s="1"/>
  <c r="AA64" i="1" s="1"/>
  <c r="AA57" i="1"/>
  <c r="AB57" i="1"/>
  <c r="Z58" i="1" s="1"/>
  <c r="AB58" i="1" s="1"/>
  <c r="Z59" i="1" s="1"/>
  <c r="AA51" i="1"/>
  <c r="AB51" i="1"/>
  <c r="Z52" i="1" s="1"/>
  <c r="AB52" i="1" s="1"/>
  <c r="Z53" i="1" s="1"/>
  <c r="AA50" i="1"/>
  <c r="AB50" i="1"/>
  <c r="AA49" i="1"/>
  <c r="AB49" i="1"/>
  <c r="AA45" i="1"/>
  <c r="AB45" i="1"/>
  <c r="AA39" i="1"/>
  <c r="AB39" i="1"/>
  <c r="Z40" i="1" s="1"/>
  <c r="AB40" i="1" s="1"/>
  <c r="Z41" i="1" s="1"/>
  <c r="AA33" i="1"/>
  <c r="AB33" i="1"/>
  <c r="AA27" i="1"/>
  <c r="AB27" i="1"/>
  <c r="Z28" i="1" s="1"/>
  <c r="AB28" i="1" s="1"/>
  <c r="Z29" i="1" s="1"/>
  <c r="AA29" i="1" s="1"/>
  <c r="AA21" i="1"/>
  <c r="AB21" i="1"/>
  <c r="Z22" i="1" s="1"/>
  <c r="AA22" i="1" s="1"/>
  <c r="AA15" i="1"/>
  <c r="AB15" i="1"/>
  <c r="Z16" i="1" s="1"/>
  <c r="AA58" i="1" l="1"/>
  <c r="AA52" i="1"/>
  <c r="AB22" i="1"/>
  <c r="Z23" i="1" s="1"/>
  <c r="AA23" i="1" s="1"/>
  <c r="AA40" i="1"/>
  <c r="AA28" i="1"/>
  <c r="AA41" i="1"/>
  <c r="AB41" i="1"/>
  <c r="AB59" i="1"/>
  <c r="Z60" i="1" s="1"/>
  <c r="AA59" i="1"/>
  <c r="AB53" i="1"/>
  <c r="Z54" i="1" s="1"/>
  <c r="AA53" i="1"/>
  <c r="AB64" i="1"/>
  <c r="Z65" i="1" s="1"/>
  <c r="Z34" i="1"/>
  <c r="Z46" i="1"/>
  <c r="Z47" i="1"/>
  <c r="AB2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E49" i="1"/>
  <c r="AE50" i="1"/>
  <c r="V12" i="1"/>
  <c r="V13" i="1"/>
  <c r="V14" i="1"/>
  <c r="AA60" i="1" l="1"/>
  <c r="AB60" i="1"/>
  <c r="AA54" i="1"/>
  <c r="AB54" i="1"/>
  <c r="Z55" i="1" s="1"/>
  <c r="AB23" i="1"/>
  <c r="Z24" i="1" s="1"/>
  <c r="AB24" i="1" s="1"/>
  <c r="AA47" i="1"/>
  <c r="AB47" i="1"/>
  <c r="Z48" i="1" s="1"/>
  <c r="AA65" i="1"/>
  <c r="AB65" i="1"/>
  <c r="Z66" i="1" s="1"/>
  <c r="AA46" i="1"/>
  <c r="AB46" i="1"/>
  <c r="Z42" i="1"/>
  <c r="AA34" i="1"/>
  <c r="AB34" i="1"/>
  <c r="Z35" i="1" s="1"/>
  <c r="AA35" i="1" s="1"/>
  <c r="Z31" i="1"/>
  <c r="AA31" i="1" s="1"/>
  <c r="Z30" i="1"/>
  <c r="AA16" i="1"/>
  <c r="AB16" i="1"/>
  <c r="Z17" i="1" s="1"/>
  <c r="AA17" i="1" s="1"/>
  <c r="AB35" i="1" l="1"/>
  <c r="Z36" i="1" s="1"/>
  <c r="AB36" i="1" s="1"/>
  <c r="Z37" i="1" s="1"/>
  <c r="AA55" i="1"/>
  <c r="AB55" i="1"/>
  <c r="Z56" i="1" s="1"/>
  <c r="Z61" i="1"/>
  <c r="Z62" i="1"/>
  <c r="AA24" i="1"/>
  <c r="AA42" i="1"/>
  <c r="AB42" i="1"/>
  <c r="Z43" i="1" s="1"/>
  <c r="AA43" i="1" s="1"/>
  <c r="AA48" i="1"/>
  <c r="AB48" i="1"/>
  <c r="Z25" i="1"/>
  <c r="AB66" i="1"/>
  <c r="AA66" i="1"/>
  <c r="AA30" i="1"/>
  <c r="AB30" i="1"/>
  <c r="AB31" i="1"/>
  <c r="Z32" i="1" s="1"/>
  <c r="AB17" i="1"/>
  <c r="Z18" i="1" s="1"/>
  <c r="AA18" i="1" s="1"/>
  <c r="AA36" i="1" l="1"/>
  <c r="AA62" i="1"/>
  <c r="AB62" i="1"/>
  <c r="AA61" i="1"/>
  <c r="AB61" i="1"/>
  <c r="AA56" i="1"/>
  <c r="AB56" i="1"/>
  <c r="Z67" i="1"/>
  <c r="Z68" i="1"/>
  <c r="AB43" i="1"/>
  <c r="Z44" i="1" s="1"/>
  <c r="AA44" i="1" s="1"/>
  <c r="AB37" i="1"/>
  <c r="Z38" i="1" s="1"/>
  <c r="AA37" i="1"/>
  <c r="AA25" i="1"/>
  <c r="AB25" i="1"/>
  <c r="Z26" i="1" s="1"/>
  <c r="AA26" i="1" s="1"/>
  <c r="AA32" i="1"/>
  <c r="AB32" i="1"/>
  <c r="AB18" i="1"/>
  <c r="Z19" i="1" s="1"/>
  <c r="AB19" i="1" s="1"/>
  <c r="Z20" i="1" s="1"/>
  <c r="Z11" i="1"/>
  <c r="AA11" i="1" s="1"/>
  <c r="AA68" i="1" l="1"/>
  <c r="AB68" i="1"/>
  <c r="AA67" i="1"/>
  <c r="AB67" i="1"/>
  <c r="AA38" i="1"/>
  <c r="AB38" i="1"/>
  <c r="AB44" i="1"/>
  <c r="AB26" i="1"/>
  <c r="AA19" i="1"/>
  <c r="AA20" i="1"/>
  <c r="AB20" i="1"/>
  <c r="AB11" i="1" l="1"/>
  <c r="Z12" i="1" s="1"/>
  <c r="AA12" i="1" l="1"/>
  <c r="AB12" i="1" l="1"/>
  <c r="Z13" i="1" l="1"/>
  <c r="AA13" i="1" l="1"/>
  <c r="AB13" i="1"/>
  <c r="Z14" i="1" s="1"/>
  <c r="AA14" i="1" l="1"/>
  <c r="AB14" i="1"/>
  <c r="AD27" i="1" l="1"/>
  <c r="AC27" i="1" s="1"/>
  <c r="AD65" i="1"/>
  <c r="AD57" i="1"/>
  <c r="AD39" i="1"/>
  <c r="AC39" i="1" s="1"/>
  <c r="AD51" i="1"/>
  <c r="AC51" i="1" s="1"/>
  <c r="AD15" i="1"/>
  <c r="AC15" i="1" s="1"/>
  <c r="AD21" i="1"/>
  <c r="AC21" i="1" s="1"/>
  <c r="AD45" i="1"/>
  <c r="AC45" i="1" s="1"/>
  <c r="AD33" i="1"/>
  <c r="AC33" i="1" s="1"/>
  <c r="J40" i="19" l="1"/>
  <c r="V30" i="19"/>
  <c r="AH20" i="19"/>
  <c r="J30" i="19"/>
  <c r="V20" i="19"/>
  <c r="AH10" i="19"/>
  <c r="P10" i="19"/>
  <c r="AB50" i="19"/>
  <c r="J50" i="19"/>
  <c r="AB40" i="19"/>
  <c r="P30" i="19"/>
  <c r="V50" i="19"/>
  <c r="P50" i="19"/>
  <c r="AB10" i="19"/>
  <c r="AH30" i="19"/>
  <c r="AH40" i="19"/>
  <c r="J10" i="19"/>
  <c r="AB20" i="19"/>
  <c r="AH50" i="19"/>
  <c r="AE33" i="1"/>
  <c r="V10" i="19"/>
  <c r="P20" i="19"/>
  <c r="J20" i="19"/>
  <c r="P40" i="19"/>
  <c r="V40" i="19"/>
  <c r="AB30" i="19"/>
  <c r="J11" i="19"/>
  <c r="V11" i="19"/>
  <c r="AB21" i="19"/>
  <c r="P31" i="19"/>
  <c r="J31" i="19"/>
  <c r="AB41" i="19"/>
  <c r="AE39" i="1"/>
  <c r="AH41" i="19"/>
  <c r="P41" i="19"/>
  <c r="J21" i="19"/>
  <c r="AB31" i="19"/>
  <c r="AB51" i="19"/>
  <c r="P21" i="19"/>
  <c r="V41" i="19"/>
  <c r="V31" i="19"/>
  <c r="AH21" i="19"/>
  <c r="AB11" i="19"/>
  <c r="P51" i="19"/>
  <c r="V21" i="19"/>
  <c r="AH31" i="19"/>
  <c r="V51" i="19"/>
  <c r="J51" i="19"/>
  <c r="AH51" i="19"/>
  <c r="AH11" i="19"/>
  <c r="J41" i="19"/>
  <c r="P11" i="19"/>
  <c r="AC22" i="1"/>
  <c r="AD23" i="1"/>
  <c r="J47" i="19"/>
  <c r="V27" i="19"/>
  <c r="AH7" i="19"/>
  <c r="P47" i="19"/>
  <c r="AB27" i="19"/>
  <c r="J17" i="19"/>
  <c r="V47" i="19"/>
  <c r="J37" i="19"/>
  <c r="AE15" i="1"/>
  <c r="AB37" i="19"/>
  <c r="J27" i="19"/>
  <c r="V7" i="19"/>
  <c r="AH37" i="19"/>
  <c r="P27" i="19"/>
  <c r="AB7" i="19"/>
  <c r="P17" i="19"/>
  <c r="V17" i="19"/>
  <c r="AH47" i="19"/>
  <c r="P37" i="19"/>
  <c r="AB17" i="19"/>
  <c r="J7" i="19"/>
  <c r="V37" i="19"/>
  <c r="AH17" i="19"/>
  <c r="P7" i="19"/>
  <c r="AH27" i="19"/>
  <c r="AB47" i="19"/>
  <c r="AE51"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57" i="1"/>
  <c r="AC64" i="1"/>
  <c r="AE27"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E21"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C65" i="1"/>
  <c r="AD66" i="1"/>
  <c r="AD35" i="1"/>
  <c r="AC34" i="1"/>
  <c r="AC40" i="1"/>
  <c r="AD41" i="1"/>
  <c r="AC41" i="1" s="1"/>
  <c r="AD42" i="1"/>
  <c r="V32" i="19"/>
  <c r="P42" i="19"/>
  <c r="J12" i="19"/>
  <c r="J32" i="19"/>
  <c r="AB52" i="19"/>
  <c r="AE45" i="1"/>
  <c r="J22" i="19"/>
  <c r="V22" i="19"/>
  <c r="J52" i="19"/>
  <c r="AH12" i="19"/>
  <c r="J42" i="19"/>
  <c r="AH42" i="19"/>
  <c r="P32" i="19"/>
  <c r="AB12" i="19"/>
  <c r="AH32" i="19"/>
  <c r="AB32" i="19"/>
  <c r="AB42" i="19"/>
  <c r="V42" i="19"/>
  <c r="V12" i="19"/>
  <c r="V52" i="19"/>
  <c r="AB22" i="19"/>
  <c r="AH52" i="19"/>
  <c r="AH22" i="19"/>
  <c r="P22" i="19"/>
  <c r="P12" i="19"/>
  <c r="P52" i="19"/>
  <c r="AD47" i="1"/>
  <c r="AC47" i="1" s="1"/>
  <c r="AD48" i="1"/>
  <c r="AC48" i="1" s="1"/>
  <c r="AC46" i="1"/>
  <c r="AD17" i="1"/>
  <c r="AC16" i="1"/>
  <c r="AC52" i="1"/>
  <c r="AD53" i="1"/>
  <c r="AC58" i="1"/>
  <c r="AD59" i="1"/>
  <c r="AC28" i="1"/>
  <c r="AD29" i="1"/>
  <c r="W37" i="19" l="1"/>
  <c r="AI7" i="19"/>
  <c r="W17" i="19"/>
  <c r="W27" i="19"/>
  <c r="Q47" i="19"/>
  <c r="W7" i="19"/>
  <c r="AI17" i="19"/>
  <c r="K47" i="19"/>
  <c r="AI47" i="19"/>
  <c r="Q27" i="19"/>
  <c r="AC27" i="19"/>
  <c r="AC47" i="19"/>
  <c r="AC37" i="19"/>
  <c r="AI37" i="19"/>
  <c r="AE16" i="1"/>
  <c r="AC17" i="19"/>
  <c r="K37" i="19"/>
  <c r="AC7" i="19"/>
  <c r="W47" i="19"/>
  <c r="Q37" i="19"/>
  <c r="AI27" i="19"/>
  <c r="Q7" i="19"/>
  <c r="K27" i="19"/>
  <c r="K17" i="19"/>
  <c r="K7" i="19"/>
  <c r="Q17" i="19"/>
  <c r="AC66" i="1"/>
  <c r="AD67" i="1"/>
  <c r="K35" i="19"/>
  <c r="AC25" i="19"/>
  <c r="K45" i="19"/>
  <c r="AI45" i="19"/>
  <c r="W45" i="19"/>
  <c r="Q35" i="19"/>
  <c r="K55" i="19"/>
  <c r="AC15" i="19"/>
  <c r="Q15" i="19"/>
  <c r="AC35" i="19"/>
  <c r="AI35" i="19"/>
  <c r="Q55" i="19"/>
  <c r="AI25" i="19"/>
  <c r="AE64"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E58"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E40" i="1"/>
  <c r="AD55" i="19"/>
  <c r="R15" i="19"/>
  <c r="AJ35" i="19"/>
  <c r="AE65"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E57"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E47" i="1"/>
  <c r="AD12" i="19"/>
  <c r="AD32" i="19"/>
  <c r="AD22" i="19"/>
  <c r="X52" i="19"/>
  <c r="AD52" i="19"/>
  <c r="L42" i="19"/>
  <c r="R42" i="19"/>
  <c r="AJ21" i="19"/>
  <c r="AD31" i="19"/>
  <c r="R21" i="19"/>
  <c r="AD41" i="19"/>
  <c r="AJ11" i="19"/>
  <c r="AJ51" i="19"/>
  <c r="AE41" i="1"/>
  <c r="L41" i="19"/>
  <c r="AD11" i="19"/>
  <c r="L21" i="19"/>
  <c r="L11" i="19"/>
  <c r="X51" i="19"/>
  <c r="X21" i="19"/>
  <c r="R11" i="19"/>
  <c r="R31" i="19"/>
  <c r="AJ41" i="19"/>
  <c r="L31" i="19"/>
  <c r="R51" i="19"/>
  <c r="X31" i="19"/>
  <c r="X11" i="19"/>
  <c r="X41" i="19"/>
  <c r="AJ31" i="19"/>
  <c r="AD51" i="19"/>
  <c r="R41" i="19"/>
  <c r="AD21" i="19"/>
  <c r="L51" i="19"/>
  <c r="AD18" i="1"/>
  <c r="AC17" i="1"/>
  <c r="AC29" i="1"/>
  <c r="AD30" i="1"/>
  <c r="AC53" i="1"/>
  <c r="AD54" i="1"/>
  <c r="K42" i="19"/>
  <c r="AC32" i="19"/>
  <c r="W42" i="19"/>
  <c r="AI52" i="19"/>
  <c r="K22" i="19"/>
  <c r="Q32" i="19"/>
  <c r="AI12" i="19"/>
  <c r="AC52" i="19"/>
  <c r="Q42" i="19"/>
  <c r="AC42" i="19"/>
  <c r="K12" i="19"/>
  <c r="Q22" i="19"/>
  <c r="W52" i="19"/>
  <c r="AI42" i="19"/>
  <c r="W32" i="19"/>
  <c r="AI22" i="19"/>
  <c r="W12" i="19"/>
  <c r="AI32" i="19"/>
  <c r="AC12" i="19"/>
  <c r="Q12" i="19"/>
  <c r="Q52" i="19"/>
  <c r="AE46" i="1"/>
  <c r="K32" i="19"/>
  <c r="W22" i="19"/>
  <c r="K52" i="19"/>
  <c r="AC22" i="19"/>
  <c r="AC40" i="19"/>
  <c r="W10" i="19"/>
  <c r="AC50" i="19"/>
  <c r="Q10" i="19"/>
  <c r="Q30" i="19"/>
  <c r="W50" i="19"/>
  <c r="K40" i="19"/>
  <c r="Q50" i="19"/>
  <c r="W20" i="19"/>
  <c r="AE34" i="1"/>
  <c r="K10" i="19"/>
  <c r="Q40" i="19"/>
  <c r="K30" i="19"/>
  <c r="AI50" i="19"/>
  <c r="AI20" i="19"/>
  <c r="K50" i="19"/>
  <c r="AI40" i="19"/>
  <c r="W40" i="19"/>
  <c r="K20" i="19"/>
  <c r="AC10" i="19"/>
  <c r="AI10" i="19"/>
  <c r="AC20" i="19"/>
  <c r="AI30" i="19"/>
  <c r="AC30" i="19"/>
  <c r="W30" i="19"/>
  <c r="Q20" i="19"/>
  <c r="AD24" i="1"/>
  <c r="AC23" i="1"/>
  <c r="AC59" i="1"/>
  <c r="AD60" i="1"/>
  <c r="K39" i="19"/>
  <c r="AC39" i="19"/>
  <c r="W29" i="19"/>
  <c r="AI49" i="19"/>
  <c r="W9" i="19"/>
  <c r="AC19" i="19"/>
  <c r="Q49" i="19"/>
  <c r="W49" i="19"/>
  <c r="AC9" i="19"/>
  <c r="AI9" i="19"/>
  <c r="Q29" i="19"/>
  <c r="W39" i="19"/>
  <c r="Q39" i="19"/>
  <c r="AE28"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E52" i="1"/>
  <c r="Q33" i="19"/>
  <c r="AI23" i="19"/>
  <c r="K53" i="19"/>
  <c r="AC23" i="19"/>
  <c r="AC13" i="19"/>
  <c r="W23" i="19"/>
  <c r="W33" i="19"/>
  <c r="Q13" i="19"/>
  <c r="W13" i="19"/>
  <c r="AI13" i="19"/>
  <c r="Q43" i="19"/>
  <c r="Q23" i="19"/>
  <c r="W53" i="19"/>
  <c r="M12" i="19"/>
  <c r="AK42" i="19"/>
  <c r="AE32" i="19"/>
  <c r="AE48" i="1"/>
  <c r="M52" i="19"/>
  <c r="S12" i="19"/>
  <c r="M32" i="19"/>
  <c r="S52" i="19"/>
  <c r="Y52" i="19"/>
  <c r="Y42" i="19"/>
  <c r="AK12" i="19"/>
  <c r="S22" i="19"/>
  <c r="AE12" i="19"/>
  <c r="Y22" i="19"/>
  <c r="S32" i="19"/>
  <c r="AK52" i="19"/>
  <c r="M22" i="19"/>
  <c r="AK32" i="19"/>
  <c r="AE22" i="19"/>
  <c r="AE42" i="19"/>
  <c r="Y32" i="19"/>
  <c r="M42" i="19"/>
  <c r="Y12" i="19"/>
  <c r="AE52" i="19"/>
  <c r="AK22" i="19"/>
  <c r="S42" i="19"/>
  <c r="AC42" i="1"/>
  <c r="AD44" i="1"/>
  <c r="AC44" i="1" s="1"/>
  <c r="AD43" i="1"/>
  <c r="AC43" i="1" s="1"/>
  <c r="AC35" i="1"/>
  <c r="AD36" i="1"/>
  <c r="AD13"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E22" i="1"/>
  <c r="AC13" i="1" l="1"/>
  <c r="AD14" i="1"/>
  <c r="AC14" i="1" s="1"/>
  <c r="R40" i="19"/>
  <c r="AD10" i="19"/>
  <c r="X40" i="19"/>
  <c r="AJ10" i="19"/>
  <c r="R50" i="19"/>
  <c r="X10" i="19"/>
  <c r="R30" i="19"/>
  <c r="AE35" i="1"/>
  <c r="L10" i="19"/>
  <c r="L50" i="19"/>
  <c r="AJ20" i="19"/>
  <c r="AJ40" i="19"/>
  <c r="AD30" i="19"/>
  <c r="R20" i="19"/>
  <c r="AD50" i="19"/>
  <c r="AJ30" i="19"/>
  <c r="AJ50" i="19"/>
  <c r="X30" i="19"/>
  <c r="AD20" i="19"/>
  <c r="L40" i="19"/>
  <c r="X50" i="19"/>
  <c r="X20" i="19"/>
  <c r="AD40" i="19"/>
  <c r="R10" i="19"/>
  <c r="L30" i="19"/>
  <c r="L20" i="19"/>
  <c r="AC54" i="1"/>
  <c r="AD55" i="1"/>
  <c r="AC67" i="1"/>
  <c r="AD68" i="1"/>
  <c r="AC68" i="1" s="1"/>
  <c r="AD47" i="19"/>
  <c r="AJ27" i="19"/>
  <c r="AD27" i="19"/>
  <c r="AJ7" i="19"/>
  <c r="AJ37" i="19"/>
  <c r="L27" i="19"/>
  <c r="AD17" i="19"/>
  <c r="L37" i="19"/>
  <c r="R17" i="19"/>
  <c r="AJ17" i="19"/>
  <c r="X7" i="19"/>
  <c r="X47" i="19"/>
  <c r="L7" i="19"/>
  <c r="L17" i="19"/>
  <c r="R27" i="19"/>
  <c r="X27" i="19"/>
  <c r="R7" i="19"/>
  <c r="X17" i="19"/>
  <c r="AJ47" i="19"/>
  <c r="L47" i="19"/>
  <c r="R37" i="19"/>
  <c r="AD7" i="19"/>
  <c r="X37" i="19"/>
  <c r="AE17" i="1"/>
  <c r="R47" i="19"/>
  <c r="AD37" i="19"/>
  <c r="AD25" i="1"/>
  <c r="AC25" i="1" s="1"/>
  <c r="AC24" i="1"/>
  <c r="AD26" i="1"/>
  <c r="AC26" i="1" s="1"/>
  <c r="AJ43" i="19"/>
  <c r="AD33" i="19"/>
  <c r="X33" i="19"/>
  <c r="X13" i="19"/>
  <c r="AD43" i="19"/>
  <c r="L43" i="19"/>
  <c r="AE53" i="1"/>
  <c r="X23" i="19"/>
  <c r="R33" i="19"/>
  <c r="R43" i="19"/>
  <c r="AD53" i="19"/>
  <c r="AJ13" i="19"/>
  <c r="R23" i="19"/>
  <c r="R13" i="19"/>
  <c r="AJ53" i="19"/>
  <c r="L33" i="19"/>
  <c r="L23" i="19"/>
  <c r="X43" i="19"/>
  <c r="X53" i="19"/>
  <c r="AD13" i="19"/>
  <c r="L53" i="19"/>
  <c r="L13" i="19"/>
  <c r="AD23" i="19"/>
  <c r="AJ33" i="19"/>
  <c r="AJ23" i="19"/>
  <c r="R53" i="19"/>
  <c r="AC18" i="1"/>
  <c r="AD19" i="1"/>
  <c r="M55" i="19"/>
  <c r="AK15" i="19"/>
  <c r="AE25" i="19"/>
  <c r="AE66"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E23"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E43" i="1"/>
  <c r="AL21" i="19"/>
  <c r="T41" i="19"/>
  <c r="AF41" i="19"/>
  <c r="O11" i="19"/>
  <c r="O21" i="19"/>
  <c r="O51" i="19"/>
  <c r="AA31" i="19"/>
  <c r="AM31" i="19"/>
  <c r="AG51" i="19"/>
  <c r="AA41" i="19"/>
  <c r="AM11" i="19"/>
  <c r="U21" i="19"/>
  <c r="AG41" i="19"/>
  <c r="AM21" i="19"/>
  <c r="AM51" i="19"/>
  <c r="O41" i="19"/>
  <c r="U11" i="19"/>
  <c r="AG31" i="19"/>
  <c r="U41" i="19"/>
  <c r="AE44" i="1"/>
  <c r="AG11" i="19"/>
  <c r="AM41" i="19"/>
  <c r="AA21" i="19"/>
  <c r="AA51" i="19"/>
  <c r="U51" i="19"/>
  <c r="U31" i="19"/>
  <c r="AA11" i="19"/>
  <c r="AG21" i="19"/>
  <c r="O31" i="19"/>
  <c r="AC60" i="1"/>
  <c r="AD61" i="1"/>
  <c r="AC30" i="1"/>
  <c r="AD31" i="1"/>
  <c r="AC31" i="1" s="1"/>
  <c r="AD32" i="1"/>
  <c r="AC32" i="1" s="1"/>
  <c r="AC36" i="1"/>
  <c r="AD37" i="1"/>
  <c r="AE11" i="19"/>
  <c r="Y41" i="19"/>
  <c r="M41" i="19"/>
  <c r="Y21" i="19"/>
  <c r="AK41" i="19"/>
  <c r="S31" i="19"/>
  <c r="M31" i="19"/>
  <c r="M51" i="19"/>
  <c r="Y51" i="19"/>
  <c r="AK21" i="19"/>
  <c r="AK31" i="19"/>
  <c r="Y11" i="19"/>
  <c r="AE41" i="19"/>
  <c r="AE21" i="19"/>
  <c r="S51" i="19"/>
  <c r="AE51" i="19"/>
  <c r="AK51" i="19"/>
  <c r="M21" i="19"/>
  <c r="AE31" i="19"/>
  <c r="AE42" i="1"/>
  <c r="S41" i="19"/>
  <c r="AK11" i="19"/>
  <c r="S11" i="19"/>
  <c r="Y31" i="19"/>
  <c r="S21" i="19"/>
  <c r="M11" i="19"/>
  <c r="L54" i="19"/>
  <c r="AJ14" i="19"/>
  <c r="AD44" i="19"/>
  <c r="X54" i="19"/>
  <c r="R14" i="19"/>
  <c r="AD24" i="19"/>
  <c r="AD34" i="19"/>
  <c r="R54" i="19"/>
  <c r="L34" i="19"/>
  <c r="AJ34" i="19"/>
  <c r="X24" i="19"/>
  <c r="AJ24" i="19"/>
  <c r="X44" i="19"/>
  <c r="R24" i="19"/>
  <c r="AE59" i="1"/>
  <c r="X34" i="19"/>
  <c r="L14" i="19"/>
  <c r="AD14" i="19"/>
  <c r="L44" i="19"/>
  <c r="R44" i="19"/>
  <c r="AD54" i="19"/>
  <c r="X14" i="19"/>
  <c r="AJ44" i="19"/>
  <c r="R34" i="19"/>
  <c r="AJ54" i="19"/>
  <c r="L24" i="19"/>
  <c r="AD29" i="19"/>
  <c r="AD19" i="19"/>
  <c r="R39" i="19"/>
  <c r="R9" i="19"/>
  <c r="X49" i="19"/>
  <c r="X9" i="19"/>
  <c r="AD39" i="19"/>
  <c r="R29" i="19"/>
  <c r="L49" i="19"/>
  <c r="X19" i="19"/>
  <c r="X29" i="19"/>
  <c r="X39" i="19"/>
  <c r="L9" i="19"/>
  <c r="AE29" i="1"/>
  <c r="AD9" i="19"/>
  <c r="AJ49" i="19"/>
  <c r="L39" i="19"/>
  <c r="R19" i="19"/>
  <c r="AJ39" i="19"/>
  <c r="AJ29" i="19"/>
  <c r="AJ19" i="19"/>
  <c r="AJ9" i="19"/>
  <c r="AD49" i="19"/>
  <c r="L19" i="19"/>
  <c r="L29" i="19"/>
  <c r="R49" i="19"/>
  <c r="AC37" i="1" l="1"/>
  <c r="AD38" i="1"/>
  <c r="AC38" i="1" s="1"/>
  <c r="AG39" i="19"/>
  <c r="AG29" i="19"/>
  <c r="AM19" i="19"/>
  <c r="O39" i="19"/>
  <c r="AE32"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60" i="1"/>
  <c r="AE24" i="19"/>
  <c r="S14" i="19"/>
  <c r="AK17" i="19"/>
  <c r="S27" i="19"/>
  <c r="S37" i="19"/>
  <c r="AE27" i="19"/>
  <c r="Y47" i="19"/>
  <c r="S7" i="19"/>
  <c r="M17" i="19"/>
  <c r="AE17" i="19"/>
  <c r="AK27" i="19"/>
  <c r="Y7" i="19"/>
  <c r="Y37" i="19"/>
  <c r="AE37" i="19"/>
  <c r="Y27" i="19"/>
  <c r="M47" i="19"/>
  <c r="AE18"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4" i="1"/>
  <c r="AE28" i="19"/>
  <c r="AA55" i="19"/>
  <c r="O45" i="19"/>
  <c r="AA15" i="19"/>
  <c r="AM55" i="19"/>
  <c r="O55" i="19"/>
  <c r="AG35" i="19"/>
  <c r="AM25" i="19"/>
  <c r="AM35" i="19"/>
  <c r="AA25" i="19"/>
  <c r="AM45" i="19"/>
  <c r="AG25" i="19"/>
  <c r="AA35" i="19"/>
  <c r="O25" i="19"/>
  <c r="U25" i="19"/>
  <c r="AG45" i="19"/>
  <c r="U35" i="19"/>
  <c r="AA45" i="19"/>
  <c r="AM15" i="19"/>
  <c r="U45" i="19"/>
  <c r="O35" i="19"/>
  <c r="O15" i="19"/>
  <c r="AE68" i="1"/>
  <c r="AG15" i="19"/>
  <c r="U15" i="19"/>
  <c r="AG55" i="19"/>
  <c r="U55" i="19"/>
  <c r="AE40" i="19"/>
  <c r="Y30" i="19"/>
  <c r="M20" i="19"/>
  <c r="AE36"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E31" i="1"/>
  <c r="T19" i="19"/>
  <c r="AL49" i="19"/>
  <c r="T29" i="19"/>
  <c r="AF29" i="19"/>
  <c r="T18" i="19"/>
  <c r="N48" i="19"/>
  <c r="N8" i="19"/>
  <c r="T28" i="19"/>
  <c r="AF38" i="19"/>
  <c r="Z28" i="19"/>
  <c r="Z18" i="19"/>
  <c r="AF8" i="19"/>
  <c r="AE25"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E67"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E30" i="1"/>
  <c r="M9" i="19"/>
  <c r="Y29" i="19"/>
  <c r="AC55" i="1"/>
  <c r="AD56" i="1"/>
  <c r="AC56" i="1" s="1"/>
  <c r="AM46" i="19"/>
  <c r="U36" i="19"/>
  <c r="AG16" i="19"/>
  <c r="O6" i="19"/>
  <c r="AA36" i="19"/>
  <c r="AM16" i="19"/>
  <c r="U6" i="19"/>
  <c r="AG46" i="19"/>
  <c r="AA16" i="19"/>
  <c r="AE14" i="1"/>
  <c r="AA6" i="19"/>
  <c r="AG6" i="19"/>
  <c r="AA46" i="19"/>
  <c r="AM26" i="19"/>
  <c r="U16" i="19"/>
  <c r="O36" i="19"/>
  <c r="U26" i="19"/>
  <c r="O46" i="19"/>
  <c r="AA26" i="19"/>
  <c r="AM6" i="19"/>
  <c r="U46" i="19"/>
  <c r="AG26" i="19"/>
  <c r="O16" i="19"/>
  <c r="AG36" i="19"/>
  <c r="O26" i="19"/>
  <c r="AM36" i="19"/>
  <c r="AC61" i="1"/>
  <c r="AD62" i="1"/>
  <c r="AC62" i="1" s="1"/>
  <c r="AD20" i="1"/>
  <c r="AC20" i="1" s="1"/>
  <c r="AC19" i="1"/>
  <c r="O8" i="19"/>
  <c r="AA48" i="19"/>
  <c r="AM38" i="19"/>
  <c r="U48" i="19"/>
  <c r="AA18" i="19"/>
  <c r="AG18" i="19"/>
  <c r="AG48" i="19"/>
  <c r="AM18" i="19"/>
  <c r="AA28" i="19"/>
  <c r="AG28" i="19"/>
  <c r="AA8" i="19"/>
  <c r="U18" i="19"/>
  <c r="AG38" i="19"/>
  <c r="U38" i="19"/>
  <c r="AM8" i="19"/>
  <c r="AA38" i="19"/>
  <c r="AM48" i="19"/>
  <c r="U28" i="19"/>
  <c r="O38" i="19"/>
  <c r="U8" i="19"/>
  <c r="AG8" i="19"/>
  <c r="AE26"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E54" i="1"/>
  <c r="M33" i="19"/>
  <c r="AF6" i="19"/>
  <c r="N46" i="19"/>
  <c r="Z26" i="19"/>
  <c r="AL6" i="19"/>
  <c r="AL36" i="19"/>
  <c r="AF26" i="19"/>
  <c r="Z6" i="19"/>
  <c r="T26" i="19"/>
  <c r="Z46" i="19"/>
  <c r="AF46" i="19"/>
  <c r="T46" i="19"/>
  <c r="T6" i="19"/>
  <c r="AF36" i="19"/>
  <c r="N26" i="19"/>
  <c r="Z16" i="19"/>
  <c r="AL26" i="19"/>
  <c r="Z36" i="19"/>
  <c r="N36" i="19"/>
  <c r="AL46" i="19"/>
  <c r="T36" i="19"/>
  <c r="AF16" i="19"/>
  <c r="N6" i="19"/>
  <c r="N16" i="19"/>
  <c r="AE13"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E62" i="1"/>
  <c r="AA14" i="19"/>
  <c r="O54" i="19"/>
  <c r="U44" i="19"/>
  <c r="U43" i="19"/>
  <c r="U13" i="19"/>
  <c r="AM53" i="19"/>
  <c r="AA53" i="19"/>
  <c r="AA43" i="19"/>
  <c r="O53" i="19"/>
  <c r="O23" i="19"/>
  <c r="O13" i="19"/>
  <c r="AG43" i="19"/>
  <c r="U33" i="19"/>
  <c r="U23" i="19"/>
  <c r="AM13" i="19"/>
  <c r="AM23" i="19"/>
  <c r="AG13" i="19"/>
  <c r="AA23" i="19"/>
  <c r="AG33" i="19"/>
  <c r="AA33" i="19"/>
  <c r="AM33" i="19"/>
  <c r="AA13" i="19"/>
  <c r="AE56"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E61" i="1"/>
  <c r="AF53" i="19"/>
  <c r="T43" i="19"/>
  <c r="Z53" i="19"/>
  <c r="N43" i="19"/>
  <c r="T23" i="19"/>
  <c r="AF43" i="19"/>
  <c r="Z13" i="19"/>
  <c r="Z43" i="19"/>
  <c r="AF23" i="19"/>
  <c r="AL13" i="19"/>
  <c r="Z23" i="19"/>
  <c r="AL43" i="19"/>
  <c r="AF13" i="19"/>
  <c r="AL23" i="19"/>
  <c r="N13" i="19"/>
  <c r="T33" i="19"/>
  <c r="AL53" i="19"/>
  <c r="N23" i="19"/>
  <c r="N53" i="19"/>
  <c r="AF33" i="19"/>
  <c r="N33" i="19"/>
  <c r="AE55" i="1"/>
  <c r="T53" i="19"/>
  <c r="AL33" i="19"/>
  <c r="T13" i="19"/>
  <c r="Z33" i="19"/>
  <c r="Z47" i="19"/>
  <c r="T7" i="19"/>
  <c r="AL37" i="19"/>
  <c r="T17" i="19"/>
  <c r="Z17" i="19"/>
  <c r="AF7" i="19"/>
  <c r="AF37" i="19"/>
  <c r="N17" i="19"/>
  <c r="AF27" i="19"/>
  <c r="AE19"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E38"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E20" i="1"/>
  <c r="AA17" i="19"/>
  <c r="O7" i="19"/>
  <c r="AA37" i="19"/>
  <c r="AA27" i="19"/>
  <c r="AM27" i="19"/>
  <c r="U17" i="19"/>
  <c r="U47" i="19"/>
  <c r="AG17" i="19"/>
  <c r="O47" i="19"/>
  <c r="Z40" i="19"/>
  <c r="AE37"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M39" i="1" l="1"/>
  <c r="N39" i="1" s="1"/>
  <c r="M11" i="1"/>
  <c r="N11" i="1" s="1"/>
  <c r="M27" i="1"/>
  <c r="N27" i="1" s="1"/>
  <c r="M21" i="1"/>
  <c r="N21" i="1" s="1"/>
  <c r="M51" i="1"/>
  <c r="N51" i="1" s="1"/>
  <c r="M45" i="1"/>
  <c r="N45" i="1" s="1"/>
  <c r="M33" i="1"/>
  <c r="N33" i="1" s="1"/>
  <c r="M15" i="1"/>
  <c r="N15" i="1" s="1"/>
  <c r="M63" i="1"/>
  <c r="N63" i="1" s="1"/>
  <c r="M57" i="1"/>
  <c r="N57" i="1" s="1"/>
  <c r="X6" i="18" l="1"/>
  <c r="AJ30" i="18"/>
  <c r="R22" i="18"/>
  <c r="L6" i="18"/>
  <c r="R30" i="18"/>
  <c r="X22" i="18"/>
  <c r="X38" i="18"/>
  <c r="AD38" i="18"/>
  <c r="P15" i="1"/>
  <c r="AD22" i="18"/>
  <c r="O15"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P33" i="1"/>
  <c r="L32" i="18"/>
  <c r="X8" i="18"/>
  <c r="X24" i="18"/>
  <c r="AJ8" i="18"/>
  <c r="O33" i="1"/>
  <c r="R40" i="18"/>
  <c r="L40" i="18"/>
  <c r="X16" i="18"/>
  <c r="L24" i="18"/>
  <c r="AJ24" i="18"/>
  <c r="X32" i="18"/>
  <c r="AJ40" i="18"/>
  <c r="R16" i="18"/>
  <c r="AD40" i="18"/>
  <c r="AD32" i="18"/>
  <c r="AD16" i="18"/>
  <c r="O45" i="1"/>
  <c r="J42" i="18"/>
  <c r="P34" i="18"/>
  <c r="AB18" i="18"/>
  <c r="AB42" i="18"/>
  <c r="AH34" i="18"/>
  <c r="P10" i="18"/>
  <c r="V34" i="18"/>
  <c r="P42" i="18"/>
  <c r="V42" i="18"/>
  <c r="AH42" i="18"/>
  <c r="AB26" i="18"/>
  <c r="AH26" i="18"/>
  <c r="V26" i="18"/>
  <c r="AB34" i="18"/>
  <c r="V10" i="18"/>
  <c r="AH18" i="18"/>
  <c r="J34" i="18"/>
  <c r="J10" i="18"/>
  <c r="AB10" i="18"/>
  <c r="J18" i="18"/>
  <c r="P45" i="1"/>
  <c r="P26" i="18"/>
  <c r="J26" i="18"/>
  <c r="AH10" i="18"/>
  <c r="P18" i="18"/>
  <c r="V18" i="18"/>
  <c r="X42" i="18"/>
  <c r="AD34" i="18"/>
  <c r="AD10" i="18"/>
  <c r="AD26" i="18"/>
  <c r="L10" i="18"/>
  <c r="L42" i="18"/>
  <c r="L26" i="18"/>
  <c r="X18" i="18"/>
  <c r="X34" i="18"/>
  <c r="X10" i="18"/>
  <c r="R18" i="18"/>
  <c r="AJ10" i="18"/>
  <c r="AD42" i="18"/>
  <c r="AJ34" i="18"/>
  <c r="R26" i="18"/>
  <c r="O51" i="1"/>
  <c r="L18" i="18"/>
  <c r="AJ26" i="18"/>
  <c r="AD18" i="18"/>
  <c r="R34" i="18"/>
  <c r="L34" i="18"/>
  <c r="AJ42" i="18"/>
  <c r="R10" i="18"/>
  <c r="R42" i="18"/>
  <c r="X26" i="18"/>
  <c r="AJ18" i="18"/>
  <c r="P51" i="1"/>
  <c r="T14" i="18"/>
  <c r="AL38" i="18"/>
  <c r="N14" i="18"/>
  <c r="Z6" i="18"/>
  <c r="T38" i="18"/>
  <c r="T22" i="18"/>
  <c r="AL14" i="18"/>
  <c r="N22" i="18"/>
  <c r="P21" i="1"/>
  <c r="AF22" i="18"/>
  <c r="N6" i="18"/>
  <c r="AF6" i="18"/>
  <c r="AF38" i="18"/>
  <c r="O21" i="1"/>
  <c r="N38" i="18"/>
  <c r="AL30" i="18"/>
  <c r="AL22" i="18"/>
  <c r="T6" i="18"/>
  <c r="AF14" i="18"/>
  <c r="AF30" i="18"/>
  <c r="Z22" i="18"/>
  <c r="T30" i="18"/>
  <c r="Z30" i="18"/>
  <c r="AL6" i="18"/>
  <c r="Z14" i="18"/>
  <c r="Z38" i="18"/>
  <c r="N30" i="18"/>
  <c r="J40" i="18"/>
  <c r="AB40" i="18"/>
  <c r="AH32" i="18"/>
  <c r="AB24" i="18"/>
  <c r="V16" i="18"/>
  <c r="O27" i="1"/>
  <c r="J16" i="18"/>
  <c r="P32" i="18"/>
  <c r="V24" i="18"/>
  <c r="P24" i="18"/>
  <c r="V40" i="18"/>
  <c r="P16" i="18"/>
  <c r="P40" i="18"/>
  <c r="V32" i="18"/>
  <c r="AH16" i="18"/>
  <c r="AB16" i="18"/>
  <c r="V8" i="18"/>
  <c r="AH24" i="18"/>
  <c r="AH8" i="18"/>
  <c r="AH40" i="18"/>
  <c r="J8" i="18"/>
  <c r="AB32" i="18"/>
  <c r="AB8" i="18"/>
  <c r="J24" i="18"/>
  <c r="J32" i="18"/>
  <c r="P8" i="18"/>
  <c r="P27" i="1"/>
  <c r="Z42" i="18"/>
  <c r="T18" i="18"/>
  <c r="AF34" i="18"/>
  <c r="AF42" i="18"/>
  <c r="N42" i="18"/>
  <c r="Z18" i="18"/>
  <c r="AL10" i="18"/>
  <c r="AL26" i="18"/>
  <c r="AF26" i="18"/>
  <c r="Z10" i="18"/>
  <c r="N18" i="18"/>
  <c r="T26" i="18"/>
  <c r="AF10" i="18"/>
  <c r="T34" i="18"/>
  <c r="N26" i="18"/>
  <c r="AL18" i="18"/>
  <c r="N10" i="18"/>
  <c r="AF18" i="18"/>
  <c r="Z26" i="18"/>
  <c r="AL34" i="18"/>
  <c r="O57" i="1"/>
  <c r="Z34" i="18"/>
  <c r="T10" i="18"/>
  <c r="P57" i="1"/>
  <c r="AL42" i="18"/>
  <c r="N34" i="18"/>
  <c r="T42" i="18"/>
  <c r="P14" i="18"/>
  <c r="V22" i="18"/>
  <c r="V14" i="18"/>
  <c r="P22" i="18"/>
  <c r="V38" i="18"/>
  <c r="AH14" i="18"/>
  <c r="AH38" i="18"/>
  <c r="J14" i="18"/>
  <c r="AB22" i="18"/>
  <c r="V30" i="18"/>
  <c r="AB14" i="18"/>
  <c r="AB38" i="18"/>
  <c r="J30" i="18"/>
  <c r="P38" i="18"/>
  <c r="AB6" i="18"/>
  <c r="O11" i="1"/>
  <c r="AD11" i="1" s="1"/>
  <c r="AH30" i="18"/>
  <c r="J38" i="18"/>
  <c r="AH6" i="18"/>
  <c r="V6" i="18"/>
  <c r="AB30" i="18"/>
  <c r="J22" i="18"/>
  <c r="J6" i="18"/>
  <c r="P30" i="18"/>
  <c r="AH22" i="18"/>
  <c r="P6" i="18"/>
  <c r="P11" i="1"/>
  <c r="AH12" i="18"/>
  <c r="J20" i="18"/>
  <c r="J44" i="18"/>
  <c r="AB28" i="18"/>
  <c r="P28" i="18"/>
  <c r="P63" i="1"/>
  <c r="P12" i="18"/>
  <c r="AH20" i="18"/>
  <c r="P44" i="18"/>
  <c r="AB12" i="18"/>
  <c r="P20" i="18"/>
  <c r="J36" i="18"/>
  <c r="P36" i="18"/>
  <c r="AB44" i="18"/>
  <c r="V44" i="18"/>
  <c r="J28" i="18"/>
  <c r="AH36" i="18"/>
  <c r="V12" i="18"/>
  <c r="V28" i="18"/>
  <c r="AH44" i="18"/>
  <c r="AB20" i="18"/>
  <c r="AB36" i="18"/>
  <c r="AH28" i="18"/>
  <c r="V36" i="18"/>
  <c r="V20" i="18"/>
  <c r="O63" i="1"/>
  <c r="AD63" i="1" s="1"/>
  <c r="AC63" i="1" s="1"/>
  <c r="J12" i="18"/>
  <c r="AF24" i="18"/>
  <c r="AF32" i="18"/>
  <c r="T40" i="18"/>
  <c r="O39" i="1"/>
  <c r="Z40" i="18"/>
  <c r="AL8" i="18"/>
  <c r="AF8" i="18"/>
  <c r="T8" i="18"/>
  <c r="Z16" i="18"/>
  <c r="T24" i="18"/>
  <c r="AL24" i="18"/>
  <c r="Z32" i="18"/>
  <c r="N32" i="18"/>
  <c r="N16" i="18"/>
  <c r="Z8" i="18"/>
  <c r="AL40" i="18"/>
  <c r="N8" i="18"/>
  <c r="N24" i="18"/>
  <c r="T32" i="18"/>
  <c r="T16" i="18"/>
  <c r="AF40" i="18"/>
  <c r="AF16" i="18"/>
  <c r="AL32" i="18"/>
  <c r="N40" i="18"/>
  <c r="Z24" i="18"/>
  <c r="AL16" i="18"/>
  <c r="P39" i="1"/>
  <c r="AC11" i="1" l="1"/>
  <c r="P16" i="19" s="1"/>
  <c r="AD12" i="1"/>
  <c r="V25" i="19"/>
  <c r="V45" i="19"/>
  <c r="J15" i="19"/>
  <c r="AB45" i="19"/>
  <c r="AH25" i="19"/>
  <c r="AH55" i="19"/>
  <c r="AB15" i="19"/>
  <c r="P15" i="19"/>
  <c r="P45" i="19"/>
  <c r="V15" i="19"/>
  <c r="J35" i="19"/>
  <c r="AH45" i="19"/>
  <c r="J25" i="19"/>
  <c r="AB35" i="19"/>
  <c r="AH15" i="19"/>
  <c r="V35" i="19"/>
  <c r="J55" i="19"/>
  <c r="AB55" i="19"/>
  <c r="AE63" i="1"/>
  <c r="AB25" i="19"/>
  <c r="AH35" i="19"/>
  <c r="P55" i="19"/>
  <c r="J45" i="19"/>
  <c r="P25" i="19"/>
  <c r="P35" i="19"/>
  <c r="V55" i="19"/>
  <c r="AC12" i="1" l="1"/>
  <c r="AI36" i="19" s="1"/>
  <c r="V36" i="19"/>
  <c r="V6" i="19"/>
  <c r="V16" i="19"/>
  <c r="P26" i="19"/>
  <c r="J26" i="19"/>
  <c r="V26" i="19"/>
  <c r="J36" i="19"/>
  <c r="J16" i="19"/>
  <c r="P36" i="19"/>
  <c r="AB26" i="19"/>
  <c r="AB36" i="19"/>
  <c r="J6" i="19"/>
  <c r="P46" i="19"/>
  <c r="AB6" i="19"/>
  <c r="AH36" i="19"/>
  <c r="AB46" i="19"/>
  <c r="AH46" i="19"/>
  <c r="V46" i="19"/>
  <c r="AH16" i="19"/>
  <c r="AH26" i="19"/>
  <c r="AH6" i="19"/>
  <c r="J46" i="19"/>
  <c r="AE11" i="1"/>
  <c r="AB16" i="19"/>
  <c r="P6" i="19"/>
  <c r="W6" i="19" l="1"/>
  <c r="K36" i="19"/>
  <c r="Q16" i="19"/>
  <c r="W46" i="19"/>
  <c r="AI16" i="19"/>
  <c r="AC16" i="19"/>
  <c r="K26" i="19"/>
  <c r="K6" i="19"/>
  <c r="AI6" i="19"/>
  <c r="AE12" i="1"/>
  <c r="Q46" i="19"/>
  <c r="W26" i="19"/>
  <c r="AI26" i="19"/>
  <c r="Q36" i="19"/>
  <c r="Q26" i="19"/>
  <c r="AI46" i="19"/>
  <c r="K16" i="19"/>
  <c r="AC26" i="19"/>
  <c r="AC6" i="19"/>
  <c r="Q6" i="19"/>
  <c r="W16" i="19"/>
  <c r="AC46" i="19"/>
  <c r="AC36" i="19"/>
  <c r="K46" i="19"/>
  <c r="W36" i="19"/>
  <c r="AJ46" i="19"/>
  <c r="L26" i="19" l="1"/>
  <c r="AJ16" i="19"/>
  <c r="X46" i="19"/>
  <c r="L6" i="19"/>
  <c r="AJ6" i="19"/>
  <c r="AD46" i="19"/>
  <c r="L16" i="19"/>
  <c r="AD16" i="19"/>
  <c r="R16" i="19"/>
  <c r="L46" i="19"/>
  <c r="R46" i="19"/>
  <c r="R6" i="19"/>
  <c r="L36" i="19"/>
  <c r="AD26" i="19"/>
  <c r="X6" i="19"/>
  <c r="AJ26" i="19"/>
  <c r="X26" i="19"/>
  <c r="AD6" i="19"/>
  <c r="AJ36" i="19"/>
  <c r="R36" i="19"/>
  <c r="X16" i="19"/>
  <c r="R26" i="19"/>
  <c r="X36" i="19"/>
  <c r="AD36" i="19"/>
  <c r="M36" i="19"/>
  <c r="S46" i="19"/>
  <c r="S26" i="19"/>
  <c r="AE26" i="19"/>
  <c r="AE6" i="19"/>
  <c r="S36" i="19"/>
  <c r="AK26" i="19"/>
  <c r="Y36" i="19"/>
  <c r="S6" i="19"/>
  <c r="M26" i="19"/>
  <c r="Y16" i="19"/>
  <c r="Y26" i="19"/>
  <c r="AK6" i="19"/>
  <c r="S16" i="19"/>
  <c r="Y6" i="19"/>
  <c r="AK36" i="19"/>
  <c r="AK46" i="19"/>
  <c r="M16" i="19"/>
  <c r="M46" i="19"/>
  <c r="Y46" i="19"/>
  <c r="AE16" i="19"/>
  <c r="M6" i="19"/>
  <c r="AK16" i="19"/>
  <c r="AE46" i="19"/>
  <c r="AE3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Andru</author>
    <author>FAMILIA AGAMEZ NUÑEZ</author>
  </authors>
  <commentList>
    <comment ref="C6" authorId="0" shapeId="0" xr:uid="{65126B5D-5C4A-46F2-9D91-12341A88DC81}">
      <text>
        <r>
          <rPr>
            <b/>
            <sz val="9"/>
            <color indexed="81"/>
            <rFont val="Tahoma"/>
            <family val="2"/>
          </rPr>
          <t>Traer la Información de la caracterización del proceso.</t>
        </r>
      </text>
    </comment>
    <comment ref="C7" authorId="0" shapeId="0" xr:uid="{AFE3232A-B667-4A59-BC34-C53A2FBF3BE3}">
      <text>
        <r>
          <rPr>
            <b/>
            <sz val="9"/>
            <color indexed="81"/>
            <rFont val="Tahoma"/>
            <family val="2"/>
          </rPr>
          <t>Traer la Información de la caracterización del proceso.</t>
        </r>
        <r>
          <rPr>
            <sz val="9"/>
            <color indexed="81"/>
            <rFont val="Tahoma"/>
            <family val="2"/>
          </rPr>
          <t xml:space="preserve">
</t>
        </r>
      </text>
    </comment>
    <comment ref="A9" authorId="0" shapeId="0" xr:uid="{180E2CFB-6BE8-4C9C-843D-3531BBEB5140}">
      <text>
        <r>
          <rPr>
            <b/>
            <sz val="9"/>
            <color indexed="81"/>
            <rFont val="Tahoma"/>
            <family val="2"/>
          </rPr>
          <t>Número consecutivo de los riesgos que se identifican.</t>
        </r>
        <r>
          <rPr>
            <sz val="9"/>
            <color indexed="81"/>
            <rFont val="Tahoma"/>
            <family val="2"/>
          </rPr>
          <t xml:space="preserve">
</t>
        </r>
      </text>
    </comment>
    <comment ref="B9" authorId="0" shapeId="0" xr:uid="{4EA3959D-77C4-45B6-A2B0-D25BC4E1103D}">
      <text>
        <r>
          <rPr>
            <b/>
            <sz val="9"/>
            <color indexed="81"/>
            <rFont val="Tahoma"/>
            <family val="2"/>
          </rPr>
          <t>Consulte su matriz de activos de información.</t>
        </r>
      </text>
    </comment>
    <comment ref="D9" authorId="0" shapeId="0" xr:uid="{1D95170F-76E1-43CE-AA86-FBAB779DAE79}">
      <text>
        <r>
          <rPr>
            <b/>
            <sz val="9"/>
            <color rgb="FF000000"/>
            <rFont val="Tahoma"/>
            <family val="2"/>
          </rPr>
          <t>En el manual de gestión de riesgos de seguridad de la información, encontrará sugerencias de AMENAZAS que puede usar o ajustar según se requiera.</t>
        </r>
      </text>
    </comment>
    <comment ref="E9" authorId="0" shapeId="0" xr:uid="{DDD049DC-8E96-4A96-8554-A83C4EAE47A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S9" authorId="0" shapeId="0" xr:uid="{B9095846-A317-4764-BEE9-6DD6DA04D193}">
      <text>
        <r>
          <rPr>
            <b/>
            <sz val="9"/>
            <color indexed="81"/>
            <rFont val="Tahoma"/>
            <family val="2"/>
          </rPr>
          <t>Este campo es automático y se diligencia al seleccionar el tipo de control (Columna T)</t>
        </r>
      </text>
    </comment>
    <comment ref="AI9" authorId="1" shapeId="0" xr:uid="{AC2D8640-8A91-4F54-8A5C-37AED0B439F4}">
      <text>
        <r>
          <rPr>
            <b/>
            <sz val="9"/>
            <color indexed="81"/>
            <rFont val="Tahoma"/>
            <family val="2"/>
          </rPr>
          <t>FAMILIA AGAMEZ NUÑEZ:</t>
        </r>
        <r>
          <rPr>
            <sz val="9"/>
            <color indexed="81"/>
            <rFont val="Tahoma"/>
            <family val="2"/>
          </rPr>
          <t xml:space="preserve">
Sacar la copia. 1 de marzo, 1 </t>
        </r>
      </text>
    </comment>
    <comment ref="AJ9" authorId="1" shapeId="0" xr:uid="{1ECEE503-D6D2-455B-89BD-3CCAA88FFD5D}">
      <text>
        <r>
          <rPr>
            <b/>
            <sz val="9"/>
            <color indexed="81"/>
            <rFont val="Tahoma"/>
            <family val="2"/>
          </rPr>
          <t>FAMILIA AGAMEZ NUÑEZ:</t>
        </r>
        <r>
          <rPr>
            <sz val="9"/>
            <color indexed="81"/>
            <rFont val="Tahoma"/>
            <family val="2"/>
          </rPr>
          <t xml:space="preserve">
Fecha en q hagpo seguimiento en el año, feb, junio, novi</t>
        </r>
      </text>
    </comment>
    <comment ref="AK9" authorId="1" shapeId="0" xr:uid="{89CABC5B-AB99-4645-9342-1353CAC98121}">
      <text>
        <r>
          <rPr>
            <b/>
            <sz val="9"/>
            <color indexed="81"/>
            <rFont val="Tahoma"/>
            <family val="2"/>
          </rPr>
          <t>FAMILIA AGAMEZ NUÑEZ:</t>
        </r>
        <r>
          <rPr>
            <sz val="9"/>
            <color indexed="81"/>
            <rFont val="Tahoma"/>
            <family val="2"/>
          </rPr>
          <t xml:space="preserve">
Seguimiento de cada una de las actividades</t>
        </r>
      </text>
    </comment>
  </commentList>
</comments>
</file>

<file path=xl/metadata.xml><?xml version="1.0" encoding="utf-8"?>
<metadata xmlns="http://schemas.openxmlformats.org/spreadsheetml/2006/main" xmlns:xlrd="http://schemas.microsoft.com/office/spreadsheetml/2017/richdata">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xmlns:xda="http://schemas.microsoft.com/office/spreadsheetml/2017/dynamicarray"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<sst xmlns="http://schemas.openxmlformats.org/spreadsheetml/2006/main" count="436" uniqueCount="295">
  <si>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</si>
  <si>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</si>
  <si>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</si>
  <si>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</si>
  <si>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</si>
  <si>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</si>
  <si>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</si>
  <si>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</si>
  <si>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</si>
  <si>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</si>
  <si>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</si>
  <si>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</si>
  <si>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</si>
  <si>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</si>
  <si>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</si>
  <si>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</si>
  <si>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</si>
  <si>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</si>
  <si>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</si>
  <si>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</si>
  <si>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</si>
  <si>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</si>
  <si>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</si>
  <si>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</si>
  <si>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</si>
  <si>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</si>
  <si>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</si>
  <si>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</si>
  <si>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</si>
  <si>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</si>
  <si>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</si>
  <si>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</si>
  <si>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</si>
  <si>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</si>
  <si>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</si>
  <si>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</si>
  <si>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</si>
  <si>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</si>
  <si>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</si>
  <si>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</si>
  <si>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</si>
  <si>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</si>
  <si>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</si>
  <si>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</si>
  <si>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</si>
  <si>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</si>
  <si>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</si>
  <si>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</si>
  <si>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</si>
  <si>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</si>
  <si>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</si>
  <si>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</si>
  <si>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</si>
  <si>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</si>
  <si>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</si>
  <si>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</si>
  <si>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</si>
  <si>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</si>
  <si>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</si>
  <si>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</si>
  <si>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</si>
  <si>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</si>
  <si>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</si>
  <si>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</si>
  <si>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</si>
  <si>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</si>
  <si>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</si>
  <si>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</si>
  <si>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</si>
  <si>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</si>
  <si>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</si>
  <si>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</si>
  <si>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</si>
  <si>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</si>
  <si>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</si>
  <si>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</si>
  <si>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</si>
  <si>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</si>
  <si>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</si>
  <si>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</si>
  <si>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</si>
  <si>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</si>
  <si>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</si>
  <si>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</si>
  <si>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</si>
  <si>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</si>
  <si>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</si>
  <si>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</si>
  <si>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</si>
  <si>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</si>
  <si>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</si>
  <si>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</si>
  <si>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</si>
  <si>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</si>
  <si>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</si>
  <si>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</si>
  <si>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</si>
  <si>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</si>
  <si>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</si>
  <si>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</si>
  <si>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</si>
  <si>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</si>
  <si>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</si>
  <si>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</si>
  <si>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</si>
  <si>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</si>
  <si>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</si>
  <si>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</si>
  <si>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</si>
  <si>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</si>
  <si>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</si>
  <si>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</si>
  <si>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</si>
  <si>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</si>
  <si>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</si>
  <si>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</si>
  <si>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</si>
  <si>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</si>
  <si>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</si>
  <si>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</si>
  <si>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</si>
  <si>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</si>
  <si>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</si>
  <si>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</si>
  <si>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</si>
  <si>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</si>
  <si>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</si>
  <si>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</si>
  <si>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</si>
  <si>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</si>
  <si>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</si>
  <si>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</si>
  <si>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</si>
  <si>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</si>
  <si>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</si>
  <si>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</si>
  <si>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</si>
  <si>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</si>
  <si>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</si>
  <si>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</si>
  <si>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</si>
  <si>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</si>
  <si>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</si>
  <si>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</si>
  <si>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</si>
  <si>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</si>
  <si>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</si>
  <si>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</si>
  <si>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</si>
  <si>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</si>
  <si>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</si>
  <si>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</si>
  <si>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</si>
  <si>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</si>
  <si>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</si>
  <si>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</si>
  <si>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</si>
  <si>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</si>
  <si>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</si>
  <si>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</si>
  <si>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</si>
  <si>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</si>
  <si>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</si>
  <si>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</si>
  <si>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</si>
  <si>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</si>
  <si>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</si>
  <si>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</si>
  <si>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</si>
  <si>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</si>
  <si>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</si>
  <si>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</si>
  <si>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</si>
  <si>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</si>
  <si>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</si>
  <si>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</si>
  <si>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</si>
  <si>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</si>
  <si>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</si>
  <si>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</si>
  <si>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</si>
  <si>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</si>
  <si>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</si>
  <si>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</si>
  <si>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</si>
  <si>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</si>
  <si>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</si>
  <si>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</si>
  <si>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</si>
  <si>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</si>
  <si>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</si>
  <si>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</si>
  <si>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</si>
  <si>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</si>
  <si>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</si>
  <si>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</si>
  <si>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</si>
  <si>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</si>
  <si>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</si>
  <si>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</si>
  <si>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</si>
  <si>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</si>
  <si>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</si>
  <si>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</si>
  <si>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</si>
  <si>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</si>
  <si>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</si>
  <si>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</si>
  <si>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</si>
  <si>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</si>
  <si>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</si>
  <si>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</si>
  <si>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</si>
  <si>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</si>
  <si>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</si>
  <si>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</si>
  <si>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</si>
  <si>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</si>
  <si>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</si>
  <si>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</si>
  <si>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</si>
  <si>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</si>
  <si>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Diligencie el objetivo del proceso o dependencia. Consulte la caracterización del proceso o dependencia en Kawak.</t>
  </si>
  <si>
    <t>Diligencie el alcance del proceso o dependencia. Consulte la caracterización del proceso o dependencia en Kawak.</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</si>
  <si>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</si>
  <si>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</si>
  <si>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</si>
  <si>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</si>
  <si>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</si>
  <si>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</si>
  <si>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</si>
  <si>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</si>
  <si>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</si>
  <si>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</si>
  <si>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</si>
  <si>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</si>
  <si>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</si>
  <si>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</si>
  <si>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</si>
  <si>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</si>
  <si>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</si>
  <si>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</si>
  <si>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</si>
  <si>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</si>
  <si>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</si>
  <si>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</si>
  <si>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</si>
  <si>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DESPACHO - SECRETARÍA DISTRITAL DE CULTURA, RECREACIÓN Y DEPORTE</t>
  </si>
  <si>
    <t>OFICINA DE CONTROL INTERNO</t>
  </si>
  <si>
    <t>OFICINA DE CONTROL INTERNO DISCIPLINARIO</t>
  </si>
  <si>
    <t>OFICINA ASESORA DE JURÍDICA</t>
  </si>
  <si>
    <t>OFICINA ASESORA DE COMUNICACIONES</t>
  </si>
  <si>
    <t>OFICINA ASESORA DE PLANEACIÓN</t>
  </si>
  <si>
    <t>OFICINA DE TECNOLOGÍAS DE LA INFORMACIÓN</t>
  </si>
  <si>
    <t>DIRECCIÓN DE FOMENTO</t>
  </si>
  <si>
    <t>DIRECCIÓN DE ASUNTOS LOCALES Y PARTICIPACIÓN</t>
  </si>
  <si>
    <t>DIRECCIÓN DE ECONOMÍA, ESTUDIOS Y POLÍTICA</t>
  </si>
  <si>
    <t>DIRECCIÓN DE PERSONAS JURÍDICAS</t>
  </si>
  <si>
    <t>SUBSECRETARÍA DISTRITAL DE CULTURA CIUDADANA Y GESTIÓN DEL CONOCIMIENTO</t>
  </si>
  <si>
    <t>DIRECCIÓN DEL OBSERVATORIO Y GESTIÓN DEL CONOCIMIENTO CULTURAL</t>
  </si>
  <si>
    <t>DIRECCIÓN DE ARTE CULTURA Y PATRIMONIO</t>
  </si>
  <si>
    <t>SUBDIRECCIÓN DE GESTIÓN CULTURAL Y ARTÍSTICA</t>
  </si>
  <si>
    <t>SUBDIRECCIÓN DE INFRAESTRUCTURA CULTURAL Y PATRIMONIO CULTURAL</t>
  </si>
  <si>
    <t>DIRECCIÓN DE LECTURA Y BIBLIOTECAS</t>
  </si>
  <si>
    <t>DIRECCIÓN DE GESTIÓN CORPORATIVA</t>
  </si>
  <si>
    <t>GRUPO INTERNO DE TRABAJO DE TALENTO HUMANO</t>
  </si>
  <si>
    <t>GRUPO INTERNO DE TRABAJO DE GESTIÓN FINANCIERA</t>
  </si>
  <si>
    <t>GRUPO INTERNO DE TRABAJO DE CONTRATACIÓN</t>
  </si>
  <si>
    <t>GRUPO INTERNO DE TRABAJO DE GESTIÓN DE SERVICIOS ADMINISTRATIVOS</t>
  </si>
  <si>
    <t>GESTIÓN DOCUMENTAL, ARCHIVO Y CORRESPONDENCIA</t>
  </si>
  <si>
    <t>DIRECCIONAMIENTO ESTRATÉGICO</t>
  </si>
  <si>
    <t>COMUNICACIÓN ESTRATÉGICA</t>
  </si>
  <si>
    <t>GESTIÓN ESTRATÉGICA DE TI</t>
  </si>
  <si>
    <t>FORMULACIÓN Y SEGUIMIENTO DE POLÍTICAS PÚBLICAS</t>
  </si>
  <si>
    <t>PROMOCIÓN DE AGENTES Y PRÁCTICAS CULTURALES Y RECREODEPORTIVAS</t>
  </si>
  <si>
    <t>APROPIACIÓN DE LA INFRAESTUCTURA Y PATRIMONIO CULTURAL</t>
  </si>
  <si>
    <t>GESTIÓN DEL CONOCIMIENTO</t>
  </si>
  <si>
    <t>PARTICIPACIÓN CIUDADANA</t>
  </si>
  <si>
    <t>GESTIÓN OPERATIVA DE TI</t>
  </si>
  <si>
    <t>GESTIÓN JURÍDICA</t>
  </si>
  <si>
    <t>GESTIÓN FINANCIERA</t>
  </si>
  <si>
    <t>GESTIÓN DE TALENTO HUMANO</t>
  </si>
  <si>
    <t>RELACIÓN CON LA CIUDADANÍA</t>
  </si>
  <si>
    <t>GESTIÓN ADMINISTRATIVA</t>
  </si>
  <si>
    <t>GESTIÓN DOCUMENTAL</t>
  </si>
  <si>
    <t>SEGUIMIENTO Y EVALUACION DE LA GESTION</t>
  </si>
  <si>
    <t>Formular y adoptar de manera articulada las políticas, planes, programas y proyectos en los campos del arte, la cultura, el patrimonio cultural, la recreación, el deporte y la actividad física del Distrito Capital.</t>
  </si>
  <si>
    <t>Errores humanos</t>
  </si>
  <si>
    <t xml:space="preserve">Daños, modificaciones o eliminación de información de la matriz de cooperación internacional </t>
  </si>
  <si>
    <t xml:space="preserve">Daños, modificaciones o eliminación de información de la base de datos de cooperantes internacionales </t>
  </si>
  <si>
    <t xml:space="preserve">Posibilidad de perdida de integridad de la información correspondiente a la base de datos de los cooperantes internacionales, porque puede ser modificada, eliminada o dañada de forma intencional o no intencional por personas que tengan acceso al enlace compartido  en el drive de las herramientas colaborativas del correo electrónico de las profesionales asignadas para esta tarea. </t>
  </si>
  <si>
    <t xml:space="preserve">Posibilidad de perdida de integridad de la información correspondiente a la matriz de seguimiento a la cooperación internacional, porque puede ser modificada, eliminada o dañada de forma intencional o no intencional por personas que tengan acceso al enlace compartido en el drive de las herramientas colaborativas del correo electrónico de las profesionales asignadas para esta tarea. </t>
  </si>
  <si>
    <t>Descripción del Riesgo (qué, cómo y para qué)</t>
  </si>
  <si>
    <t xml:space="preserve">Realizar una copia de seguridad de la base de datos de los cooperantes internacionales una vez al mes en el drive, sin darle acceso a ninguno de los miembros del equipo. El responsable de sacar dicha copia es la contratista encargada de darle seguimiento a la matriz de cooperación </t>
  </si>
  <si>
    <t xml:space="preserve">Realizar una copia de seguridad de la matriz de cooperación internacional, una vez al mes en el drive, sin darle acceso a ninguno de los miembros del equipo. El responsable de sacar dicha copia es la contratista encargada de darle seguimiento a la matriz de cooperación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</si>
</sst>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9"/>
      <color rgb="FF000000"/>
      <name val="Arial Narrow"/>
      <family val="2"/>
      <charset val="1"/>
    </font>
    <font>
      <b/>
      <sz val="20"/>
      <color theme="1"/>
      <name val="Arial Narrow"/>
      <family val="2"/>
    </font>
    <font>
      <b/>
      <sz val="9"/>
      <color rgb="FF000000"/>
      <name val="Tahoma"/>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4" fillId="0" borderId="0" applyFont="0" applyFill="0" applyBorder="0" applyAlignment="0" applyProtection="0"/>
    <xf numFmtId="0" fontId="47" fillId="0" borderId="0"/>
    <xf numFmtId="0" fontId="48" fillId="0" borderId="0"/>
    <xf numFmtId="0" fontId="5" fillId="0" borderId="0"/>
    <xf numFmtId="0" fontId="13" fillId="16" borderId="0" applyNumberFormat="0" applyBorder="0" applyAlignment="0" applyProtection="0"/>
  </cellStyleXfs>
  <cellXfs count="43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Fill="1" applyAlignment="1">
      <alignment vertical="center"/>
    </xf>
    <xf numFmtId="0" fontId="29" fillId="0" borderId="0" xfId="0" applyFont="1" applyFill="1"/>
    <xf numFmtId="0" fontId="27" fillId="0" borderId="0" xfId="0" applyFont="1"/>
    <xf numFmtId="0" fontId="0" fillId="0" borderId="0" xfId="0" pivotButton="1"/>
    <xf numFmtId="0" fontId="12" fillId="0" borderId="0" xfId="0" applyFont="1" applyBorder="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applyProtection="1"/>
    <xf numFmtId="0" fontId="49" fillId="3" borderId="52" xfId="2" applyFont="1" applyFill="1" applyBorder="1" applyProtection="1"/>
    <xf numFmtId="0" fontId="49" fillId="3" borderId="53" xfId="2" applyFont="1" applyFill="1" applyBorder="1" applyProtection="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14" xfId="2" applyFont="1" applyFill="1" applyBorder="1" applyProtection="1"/>
    <xf numFmtId="0" fontId="54" fillId="3" borderId="0" xfId="0" applyFont="1" applyFill="1" applyBorder="1" applyAlignment="1" applyProtection="1">
      <alignment horizontal="left" vertical="center" wrapText="1"/>
    </xf>
    <xf numFmtId="0" fontId="55" fillId="3" borderId="0" xfId="0" applyFont="1" applyFill="1" applyBorder="1" applyAlignment="1" applyProtection="1">
      <alignment horizontal="left" vertical="top" wrapText="1"/>
    </xf>
    <xf numFmtId="0" fontId="49" fillId="3" borderId="0" xfId="2" applyFont="1" applyFill="1" applyBorder="1" applyProtection="1"/>
    <xf numFmtId="0" fontId="49" fillId="3" borderId="15" xfId="2" applyFont="1" applyFill="1" applyBorder="1" applyProtection="1"/>
    <xf numFmtId="0" fontId="49" fillId="3" borderId="16" xfId="2" applyFont="1" applyFill="1" applyBorder="1" applyProtection="1"/>
    <xf numFmtId="0" fontId="49" fillId="3" borderId="18" xfId="2" applyFont="1" applyFill="1" applyBorder="1" applyProtection="1"/>
    <xf numFmtId="0" fontId="49" fillId="3" borderId="17" xfId="2" applyFont="1" applyFill="1" applyBorder="1" applyProtection="1"/>
    <xf numFmtId="0" fontId="53" fillId="3" borderId="0" xfId="2" applyFont="1" applyFill="1" applyBorder="1" applyAlignment="1" applyProtection="1">
      <alignment horizontal="left" vertical="center" wrapText="1"/>
    </xf>
    <xf numFmtId="0" fontId="49" fillId="3" borderId="0" xfId="2" applyFont="1" applyFill="1" applyBorder="1" applyAlignment="1" applyProtection="1">
      <alignment horizontal="left" vertical="center" wrapText="1"/>
    </xf>
    <xf numFmtId="0" fontId="49" fillId="3" borderId="0" xfId="2" quotePrefix="1" applyFont="1" applyFill="1" applyBorder="1" applyAlignment="1" applyProtection="1">
      <alignment horizontal="left" vertical="center" wrapText="1"/>
    </xf>
    <xf numFmtId="0" fontId="49" fillId="3" borderId="15" xfId="2" applyFont="1" applyFill="1" applyBorder="1" applyAlignment="1" applyProtection="1"/>
    <xf numFmtId="0" fontId="51" fillId="3" borderId="14" xfId="2" quotePrefix="1" applyFont="1" applyFill="1" applyBorder="1" applyAlignment="1" applyProtection="1">
      <alignment horizontal="left" vertical="top" wrapText="1"/>
    </xf>
    <xf numFmtId="0" fontId="52" fillId="3" borderId="0" xfId="2" quotePrefix="1" applyFont="1" applyFill="1" applyBorder="1" applyAlignment="1" applyProtection="1">
      <alignment horizontal="left" vertical="top" wrapText="1"/>
    </xf>
    <xf numFmtId="0" fontId="52"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Fill="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8" fillId="17" borderId="33" xfId="5" applyFont="1" applyFill="1" applyBorder="1" applyAlignment="1">
      <alignment horizontal="center" vertical="center" wrapText="1"/>
    </xf>
    <xf numFmtId="0" fontId="59" fillId="18" borderId="33" xfId="0" applyFont="1" applyFill="1" applyBorder="1" applyAlignment="1">
      <alignment horizontal="left" vertical="center" wrapText="1"/>
    </xf>
    <xf numFmtId="0" fontId="58" fillId="17" borderId="77" xfId="5" applyFont="1" applyFill="1" applyBorder="1" applyAlignment="1">
      <alignment vertical="center" wrapText="1"/>
    </xf>
    <xf numFmtId="0" fontId="59"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2" fillId="0" borderId="0" xfId="0" applyFont="1"/>
    <xf numFmtId="0" fontId="59" fillId="18" borderId="76" xfId="0" applyFont="1" applyFill="1" applyBorder="1" applyAlignment="1">
      <alignment horizontal="left" vertical="center" wrapText="1"/>
    </xf>
    <xf numFmtId="0" fontId="0" fillId="3" borderId="33" xfId="0" applyFill="1" applyBorder="1"/>
    <xf numFmtId="0" fontId="63" fillId="19" borderId="79" xfId="4" applyFont="1" applyFill="1" applyBorder="1" applyAlignment="1">
      <alignment vertical="center" wrapText="1"/>
    </xf>
    <xf numFmtId="0" fontId="63" fillId="19" borderId="80" xfId="4" applyFont="1" applyFill="1" applyBorder="1" applyAlignment="1">
      <alignment vertical="center" wrapText="1"/>
    </xf>
    <xf numFmtId="0" fontId="63" fillId="3" borderId="80" xfId="4" applyFont="1" applyFill="1" applyBorder="1" applyAlignment="1">
      <alignment vertical="center" wrapText="1"/>
    </xf>
    <xf numFmtId="0" fontId="63" fillId="3" borderId="81" xfId="4" applyFont="1" applyFill="1" applyBorder="1" applyAlignment="1">
      <alignment vertical="center" wrapText="1"/>
    </xf>
    <xf numFmtId="0" fontId="63" fillId="20" borderId="80" xfId="4" applyFont="1" applyFill="1" applyBorder="1" applyAlignment="1">
      <alignment vertical="center" wrapText="1"/>
    </xf>
    <xf numFmtId="0" fontId="63" fillId="21" borderId="82" xfId="4" applyFont="1" applyFill="1" applyBorder="1" applyAlignment="1">
      <alignment vertical="center" wrapText="1"/>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4" xfId="0" applyFont="1" applyBorder="1" applyAlignment="1" applyProtection="1">
      <alignment vertical="center" wrapText="1"/>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0" borderId="4" xfId="0" applyFont="1" applyBorder="1" applyAlignment="1" applyProtection="1">
      <alignment vertical="top"/>
    </xf>
    <xf numFmtId="0" fontId="1" fillId="0" borderId="8" xfId="0" applyFont="1" applyBorder="1" applyAlignment="1" applyProtection="1">
      <alignment vertical="top"/>
    </xf>
    <xf numFmtId="0" fontId="1" fillId="0" borderId="5" xfId="0" applyFont="1" applyBorder="1" applyAlignment="1" applyProtection="1">
      <alignment vertical="top"/>
    </xf>
    <xf numFmtId="0" fontId="4" fillId="0" borderId="8" xfId="0" applyFont="1" applyFill="1" applyBorder="1" applyAlignment="1" applyProtection="1">
      <alignment vertical="top" wrapText="1"/>
      <protection hidden="1"/>
    </xf>
    <xf numFmtId="0" fontId="4" fillId="0" borderId="5" xfId="0" applyFont="1" applyFill="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9" fontId="1" fillId="0" borderId="4" xfId="0" applyNumberFormat="1" applyFont="1" applyBorder="1" applyAlignment="1" applyProtection="1">
      <alignment vertical="center" wrapText="1"/>
      <protection locked="0"/>
    </xf>
    <xf numFmtId="0" fontId="1" fillId="0" borderId="4" xfId="0" applyFont="1" applyBorder="1" applyAlignment="1" applyProtection="1">
      <alignment vertical="center"/>
      <protection locked="0"/>
    </xf>
    <xf numFmtId="0" fontId="4" fillId="0" borderId="4" xfId="0" applyFont="1" applyFill="1" applyBorder="1" applyAlignment="1" applyProtection="1">
      <alignment vertical="center" wrapText="1"/>
      <protection hidden="1"/>
    </xf>
    <xf numFmtId="9" fontId="1" fillId="0" borderId="4" xfId="0" applyNumberFormat="1" applyFont="1" applyBorder="1" applyAlignment="1" applyProtection="1">
      <alignment vertical="center" wrapText="1"/>
      <protection hidden="1"/>
    </xf>
    <xf numFmtId="0" fontId="2" fillId="3" borderId="4" xfId="0" applyFont="1" applyFill="1" applyBorder="1" applyAlignment="1" applyProtection="1">
      <alignment vertical="center" wrapText="1"/>
      <protection locked="0"/>
    </xf>
    <xf numFmtId="0" fontId="54" fillId="3" borderId="62" xfId="0" applyFont="1" applyFill="1" applyBorder="1" applyAlignment="1" applyProtection="1">
      <alignment horizontal="left" vertical="center" wrapText="1"/>
    </xf>
    <xf numFmtId="0" fontId="54" fillId="3" borderId="63" xfId="0" applyFont="1" applyFill="1" applyBorder="1" applyAlignment="1" applyProtection="1">
      <alignment horizontal="left" vertical="center" wrapText="1"/>
    </xf>
    <xf numFmtId="0" fontId="55" fillId="3" borderId="64" xfId="2" applyFont="1" applyFill="1" applyBorder="1" applyAlignment="1" applyProtection="1">
      <alignment horizontal="justify" vertical="center" wrapText="1"/>
    </xf>
    <xf numFmtId="0" fontId="55" fillId="3" borderId="65" xfId="2" applyFont="1" applyFill="1" applyBorder="1" applyAlignment="1" applyProtection="1">
      <alignment horizontal="justify" vertical="center" wrapText="1"/>
    </xf>
    <xf numFmtId="0" fontId="54" fillId="3" borderId="71" xfId="0" applyFont="1" applyFill="1" applyBorder="1" applyAlignment="1" applyProtection="1">
      <alignment horizontal="left" vertical="center" wrapText="1"/>
    </xf>
    <xf numFmtId="0" fontId="54" fillId="3" borderId="72" xfId="0" applyFont="1" applyFill="1" applyBorder="1" applyAlignment="1" applyProtection="1">
      <alignment horizontal="left" vertical="center" wrapText="1"/>
    </xf>
    <xf numFmtId="0" fontId="49" fillId="3" borderId="14" xfId="2" applyFont="1" applyFill="1" applyBorder="1" applyAlignment="1" applyProtection="1">
      <alignment horizontal="left" vertical="top" wrapText="1"/>
    </xf>
    <xf numFmtId="0" fontId="49" fillId="3" borderId="0" xfId="2" applyFont="1" applyFill="1" applyBorder="1" applyAlignment="1" applyProtection="1">
      <alignment horizontal="left" vertical="top" wrapText="1"/>
    </xf>
    <xf numFmtId="0" fontId="49" fillId="3" borderId="15" xfId="2" applyFont="1" applyFill="1" applyBorder="1" applyAlignment="1" applyProtection="1">
      <alignment horizontal="left" vertical="top" wrapText="1"/>
    </xf>
    <xf numFmtId="0" fontId="54" fillId="3" borderId="73" xfId="0" applyFont="1" applyFill="1" applyBorder="1" applyAlignment="1" applyProtection="1">
      <alignment horizontal="left" vertical="center" wrapText="1"/>
    </xf>
    <xf numFmtId="0" fontId="54" fillId="3" borderId="74" xfId="0" applyFont="1" applyFill="1" applyBorder="1" applyAlignment="1" applyProtection="1">
      <alignment horizontal="left" vertical="center" wrapText="1"/>
    </xf>
    <xf numFmtId="0" fontId="55" fillId="3" borderId="66" xfId="0" applyFont="1" applyFill="1" applyBorder="1" applyAlignment="1" applyProtection="1">
      <alignment horizontal="justify" vertical="center" wrapText="1"/>
    </xf>
    <xf numFmtId="0" fontId="55" fillId="3" borderId="67" xfId="0" applyFont="1" applyFill="1" applyBorder="1" applyAlignment="1" applyProtection="1">
      <alignment horizontal="justify" vertical="center" wrapText="1"/>
    </xf>
    <xf numFmtId="0" fontId="50" fillId="14" borderId="48" xfId="2" applyFont="1" applyFill="1" applyBorder="1" applyAlignment="1" applyProtection="1">
      <alignment horizontal="center" vertical="center" wrapText="1"/>
    </xf>
    <xf numFmtId="0" fontId="50" fillId="14" borderId="49" xfId="2" applyFont="1" applyFill="1" applyBorder="1" applyAlignment="1" applyProtection="1">
      <alignment horizontal="center" vertical="center" wrapText="1"/>
    </xf>
    <xf numFmtId="0" fontId="50" fillId="14" borderId="50" xfId="2" applyFont="1" applyFill="1" applyBorder="1" applyAlignment="1" applyProtection="1">
      <alignment horizontal="center" vertical="center" wrapText="1"/>
    </xf>
    <xf numFmtId="0" fontId="49" fillId="0" borderId="14" xfId="2" quotePrefix="1" applyFont="1" applyBorder="1" applyAlignment="1" applyProtection="1">
      <alignment horizontal="left" vertical="center" wrapText="1"/>
    </xf>
    <xf numFmtId="0" fontId="49" fillId="0" borderId="0" xfId="2" quotePrefix="1" applyFont="1" applyBorder="1" applyAlignment="1" applyProtection="1">
      <alignment horizontal="left" vertical="center" wrapText="1"/>
    </xf>
    <xf numFmtId="0" fontId="49" fillId="0" borderId="15" xfId="2" quotePrefix="1" applyFont="1" applyBorder="1" applyAlignment="1" applyProtection="1">
      <alignment horizontal="left" vertical="center" wrapText="1"/>
    </xf>
    <xf numFmtId="0" fontId="49" fillId="0" borderId="68" xfId="2" quotePrefix="1" applyFont="1" applyBorder="1" applyAlignment="1" applyProtection="1">
      <alignment horizontal="left" vertical="center" wrapText="1"/>
    </xf>
    <xf numFmtId="0" fontId="49" fillId="0" borderId="69" xfId="2" quotePrefix="1" applyFont="1" applyBorder="1" applyAlignment="1" applyProtection="1">
      <alignment horizontal="left" vertical="center" wrapText="1"/>
    </xf>
    <xf numFmtId="0" fontId="49" fillId="0" borderId="70" xfId="2" quotePrefix="1" applyFont="1" applyBorder="1" applyAlignment="1" applyProtection="1">
      <alignment horizontal="left" vertical="center" wrapText="1"/>
    </xf>
    <xf numFmtId="0" fontId="51" fillId="3" borderId="51" xfId="2" quotePrefix="1" applyFont="1" applyFill="1" applyBorder="1" applyAlignment="1" applyProtection="1">
      <alignment horizontal="left" vertical="top" wrapText="1"/>
    </xf>
    <xf numFmtId="0" fontId="52" fillId="3" borderId="52" xfId="2" quotePrefix="1" applyFont="1" applyFill="1" applyBorder="1" applyAlignment="1" applyProtection="1">
      <alignment horizontal="left" vertical="top" wrapText="1"/>
    </xf>
    <xf numFmtId="0" fontId="52" fillId="3" borderId="53" xfId="2" quotePrefix="1" applyFont="1" applyFill="1" applyBorder="1" applyAlignment="1" applyProtection="1">
      <alignment horizontal="left" vertical="top" wrapText="1"/>
    </xf>
    <xf numFmtId="0" fontId="49" fillId="0" borderId="14" xfId="2" quotePrefix="1" applyFont="1" applyBorder="1" applyAlignment="1" applyProtection="1">
      <alignment horizontal="left" vertical="top" wrapText="1"/>
    </xf>
    <xf numFmtId="0" fontId="49" fillId="0" borderId="0" xfId="2" quotePrefix="1" applyFont="1" applyBorder="1" applyAlignment="1" applyProtection="1">
      <alignment horizontal="left" vertical="top" wrapText="1"/>
    </xf>
    <xf numFmtId="0" fontId="49" fillId="0" borderId="15" xfId="2" quotePrefix="1" applyFont="1" applyBorder="1" applyAlignment="1" applyProtection="1">
      <alignment horizontal="left" vertical="top" wrapText="1"/>
    </xf>
    <xf numFmtId="0" fontId="54" fillId="14" borderId="54" xfId="3" applyFont="1" applyFill="1" applyBorder="1" applyAlignment="1" applyProtection="1">
      <alignment horizontal="center" vertical="center" wrapText="1"/>
    </xf>
    <xf numFmtId="0" fontId="54" fillId="14" borderId="55" xfId="3" applyFont="1" applyFill="1" applyBorder="1" applyAlignment="1" applyProtection="1">
      <alignment horizontal="center" vertical="center" wrapText="1"/>
    </xf>
    <xf numFmtId="0" fontId="54" fillId="14" borderId="56" xfId="2" applyFont="1" applyFill="1" applyBorder="1" applyAlignment="1" applyProtection="1">
      <alignment horizontal="center" vertical="center"/>
    </xf>
    <xf numFmtId="0" fontId="54"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4" fillId="3" borderId="58" xfId="3" applyFont="1" applyFill="1" applyBorder="1" applyAlignment="1" applyProtection="1">
      <alignment horizontal="left" vertical="top" wrapText="1" readingOrder="1"/>
    </xf>
    <xf numFmtId="0" fontId="54" fillId="3" borderId="59" xfId="3" applyFont="1" applyFill="1" applyBorder="1" applyAlignment="1" applyProtection="1">
      <alignment horizontal="left" vertical="top" wrapText="1" readingOrder="1"/>
    </xf>
    <xf numFmtId="0" fontId="55" fillId="3" borderId="60" xfId="2" applyFont="1" applyFill="1" applyBorder="1" applyAlignment="1" applyProtection="1">
      <alignment horizontal="justify" vertical="center" wrapText="1"/>
    </xf>
    <xf numFmtId="0" fontId="55" fillId="3" borderId="61" xfId="2" applyFont="1" applyFill="1" applyBorder="1" applyAlignment="1" applyProtection="1">
      <alignment horizontal="justify"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3" borderId="0" xfId="0" applyFont="1" applyFill="1" applyBorder="1" applyAlignment="1">
      <alignment horizontal="left" vertical="center"/>
    </xf>
    <xf numFmtId="0" fontId="64" fillId="2" borderId="28"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30" xfId="0" applyFont="1" applyFill="1" applyBorder="1" applyAlignment="1">
      <alignment horizontal="center" vertical="center"/>
    </xf>
    <xf numFmtId="0" fontId="64" fillId="2" borderId="3" xfId="0" applyFont="1" applyFill="1" applyBorder="1" applyAlignment="1">
      <alignment horizontal="center" vertical="center"/>
    </xf>
    <xf numFmtId="0" fontId="64" fillId="2" borderId="31" xfId="0" applyFont="1" applyFill="1" applyBorder="1" applyAlignment="1">
      <alignment horizontal="center" vertical="center"/>
    </xf>
    <xf numFmtId="0" fontId="6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35" fillId="3" borderId="6" xfId="0" applyFont="1" applyFill="1" applyBorder="1" applyAlignment="1" applyProtection="1">
      <alignment horizontal="left" vertical="center"/>
      <protection locked="0"/>
    </xf>
    <xf numFmtId="0" fontId="35" fillId="3" borderId="10" xfId="0" applyFont="1" applyFill="1" applyBorder="1" applyAlignment="1" applyProtection="1">
      <alignment horizontal="left" vertical="center"/>
      <protection locked="0"/>
    </xf>
    <xf numFmtId="0" fontId="35" fillId="3" borderId="7" xfId="0" applyFont="1" applyFill="1" applyBorder="1" applyAlignment="1" applyProtection="1">
      <alignment horizontal="left" vertical="center"/>
      <protection locked="0"/>
    </xf>
    <xf numFmtId="0" fontId="35" fillId="3" borderId="6" xfId="0" applyFont="1" applyFill="1" applyBorder="1" applyAlignment="1" applyProtection="1">
      <alignment horizontal="left" vertical="center" wrapText="1"/>
      <protection locked="0"/>
    </xf>
    <xf numFmtId="0" fontId="35" fillId="3" borderId="10"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35" fillId="3" borderId="6" xfId="0" applyFont="1" applyFill="1" applyBorder="1" applyAlignment="1" applyProtection="1">
      <alignment horizontal="center" vertical="center"/>
      <protection locked="0"/>
    </xf>
    <xf numFmtId="0" fontId="35" fillId="3" borderId="10" xfId="0" applyFont="1" applyFill="1" applyBorder="1" applyAlignment="1" applyProtection="1">
      <alignment horizontal="center" vertical="center"/>
      <protection locked="0"/>
    </xf>
    <xf numFmtId="0" fontId="35" fillId="3" borderId="7" xfId="0" applyFont="1" applyFill="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0" xfId="0" applyFont="1" applyBorder="1" applyAlignment="1">
      <alignment horizontal="center" vertical="center"/>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Border="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Border="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Border="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Border="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4"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Border="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58" fillId="17" borderId="77" xfId="5" applyFont="1" applyFill="1" applyBorder="1" applyAlignment="1">
      <alignment horizontal="center" vertical="center" wrapText="1"/>
    </xf>
    <xf numFmtId="0" fontId="58" fillId="17" borderId="78" xfId="5" applyFont="1" applyFill="1" applyBorder="1" applyAlignment="1">
      <alignment horizontal="center" vertical="center" wrapText="1"/>
    </xf>
    <xf numFmtId="0" fontId="59" fillId="3" borderId="75" xfId="0" applyFont="1" applyFill="1" applyBorder="1" applyAlignment="1">
      <alignment horizontal="center" vertical="center" wrapText="1"/>
    </xf>
    <xf numFmtId="0" fontId="59" fillId="3" borderId="76" xfId="0" applyFont="1" applyFill="1" applyBorder="1" applyAlignment="1">
      <alignment horizontal="center" vertical="center" wrapText="1"/>
    </xf>
    <xf numFmtId="0" fontId="59" fillId="3" borderId="34" xfId="0" applyFont="1" applyFill="1" applyBorder="1" applyAlignment="1">
      <alignment horizontal="center" vertical="center" wrapText="1"/>
    </xf>
  </cellXfs>
  <cellStyles count="6">
    <cellStyle name="Énfasis6" xfId="5" builtinId="49"/>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25">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797894097224" createdVersion="6" refreshedVersion="8"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820464814817" createdVersion="8" refreshedVersion="8" minRefreshableVersion="3" recordCount="7" xr:uid="{232647FB-49CE-4F62-86F9-1427EE015CD3}">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3EAE15-6BF5-4951-A574-527CE7D42B2A}"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24" dataDxfId="223">
  <autoFilter ref="B209:C219" xr:uid="{00000000-0009-0000-0100-000001000000}"/>
  <tableColumns count="2">
    <tableColumn id="1" xr3:uid="{00000000-0010-0000-0000-000001000000}" name="Criterios" dataDxfId="222"/>
    <tableColumn id="2" xr3:uid="{00000000-0010-0000-0000-000002000000}" name="Subcriterios" dataDxfId="2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C1D77-F985-46AC-8A2D-D3F8D2DE7F8B}" name="Tabla5" displayName="Tabla5" ref="B228:C235" totalsRowShown="0" dataDxfId="220">
  <autoFilter ref="B228:C235" xr:uid="{ED9C1D77-F985-46AC-8A2D-D3F8D2DE7F8B}"/>
  <tableColumns count="2">
    <tableColumn id="1" xr3:uid="{D970216B-CA6C-4309-AD2F-B76087107514}" name="Criterios" dataDxfId="219"/>
    <tableColumn id="2" xr3:uid="{7675993B-4AC0-4FEA-A718-8F3290DD0C37}" name="Subcriterios" dataDxfId="21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8"/>
  <sheetViews>
    <sheetView topLeftCell="A14" zoomScale="110" zoomScaleNormal="110" workbookViewId="0">
      <selection activeCell="E19" sqref="E19:F19"/>
    </sheetView>
  </sheetViews>
  <sheetFormatPr baseColWidth="10" defaultColWidth="11.42578125"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95" t="s">
        <v>149</v>
      </c>
      <c r="C2" s="196"/>
      <c r="D2" s="196"/>
      <c r="E2" s="196"/>
      <c r="F2" s="196"/>
      <c r="G2" s="196"/>
      <c r="H2" s="197"/>
    </row>
    <row r="3" spans="2:8" x14ac:dyDescent="0.25">
      <c r="B3" s="85"/>
      <c r="C3" s="86"/>
      <c r="D3" s="86"/>
      <c r="E3" s="86"/>
      <c r="F3" s="86"/>
      <c r="G3" s="86"/>
      <c r="H3" s="87"/>
    </row>
    <row r="4" spans="2:8" ht="63" customHeight="1" x14ac:dyDescent="0.25">
      <c r="B4" s="198" t="s">
        <v>173</v>
      </c>
      <c r="C4" s="199"/>
      <c r="D4" s="199"/>
      <c r="E4" s="199"/>
      <c r="F4" s="199"/>
      <c r="G4" s="199"/>
      <c r="H4" s="200"/>
    </row>
    <row r="5" spans="2:8" ht="63" customHeight="1" x14ac:dyDescent="0.25">
      <c r="B5" s="201"/>
      <c r="C5" s="202"/>
      <c r="D5" s="202"/>
      <c r="E5" s="202"/>
      <c r="F5" s="202"/>
      <c r="G5" s="202"/>
      <c r="H5" s="203"/>
    </row>
    <row r="6" spans="2:8" ht="16.5" x14ac:dyDescent="0.25">
      <c r="B6" s="204" t="s">
        <v>147</v>
      </c>
      <c r="C6" s="205"/>
      <c r="D6" s="205"/>
      <c r="E6" s="205"/>
      <c r="F6" s="205"/>
      <c r="G6" s="205"/>
      <c r="H6" s="206"/>
    </row>
    <row r="7" spans="2:8" ht="95.25" customHeight="1" x14ac:dyDescent="0.25">
      <c r="B7" s="214" t="s">
        <v>151</v>
      </c>
      <c r="C7" s="215"/>
      <c r="D7" s="215"/>
      <c r="E7" s="215"/>
      <c r="F7" s="215"/>
      <c r="G7" s="215"/>
      <c r="H7" s="216"/>
    </row>
    <row r="8" spans="2:8" ht="16.5" x14ac:dyDescent="0.25">
      <c r="B8" s="122"/>
      <c r="C8" s="123"/>
      <c r="D8" s="123"/>
      <c r="E8" s="123"/>
      <c r="F8" s="123"/>
      <c r="G8" s="123"/>
      <c r="H8" s="124"/>
    </row>
    <row r="9" spans="2:8" ht="16.5" customHeight="1" x14ac:dyDescent="0.25">
      <c r="B9" s="207" t="s">
        <v>166</v>
      </c>
      <c r="C9" s="208"/>
      <c r="D9" s="208"/>
      <c r="E9" s="208"/>
      <c r="F9" s="208"/>
      <c r="G9" s="208"/>
      <c r="H9" s="209"/>
    </row>
    <row r="10" spans="2:8" ht="44.25" customHeight="1" x14ac:dyDescent="0.25">
      <c r="B10" s="207"/>
      <c r="C10" s="208"/>
      <c r="D10" s="208"/>
      <c r="E10" s="208"/>
      <c r="F10" s="208"/>
      <c r="G10" s="208"/>
      <c r="H10" s="209"/>
    </row>
    <row r="11" spans="2:8" ht="15.75" thickBot="1" x14ac:dyDescent="0.3">
      <c r="B11" s="110"/>
      <c r="C11" s="113"/>
      <c r="D11" s="118"/>
      <c r="E11" s="119"/>
      <c r="F11" s="119"/>
      <c r="G11" s="120"/>
      <c r="H11" s="121"/>
    </row>
    <row r="12" spans="2:8" ht="15.75" thickTop="1" x14ac:dyDescent="0.25">
      <c r="B12" s="110"/>
      <c r="C12" s="210" t="s">
        <v>148</v>
      </c>
      <c r="D12" s="211"/>
      <c r="E12" s="212" t="s">
        <v>167</v>
      </c>
      <c r="F12" s="213"/>
      <c r="G12" s="113"/>
      <c r="H12" s="114"/>
    </row>
    <row r="13" spans="2:8" ht="35.25" customHeight="1" x14ac:dyDescent="0.25">
      <c r="B13" s="110"/>
      <c r="C13" s="217" t="s">
        <v>163</v>
      </c>
      <c r="D13" s="218"/>
      <c r="E13" s="219" t="s">
        <v>220</v>
      </c>
      <c r="F13" s="220"/>
      <c r="G13" s="113"/>
      <c r="H13" s="114"/>
    </row>
    <row r="14" spans="2:8" ht="35.25" customHeight="1" x14ac:dyDescent="0.25">
      <c r="B14" s="110"/>
      <c r="C14" s="217" t="s">
        <v>219</v>
      </c>
      <c r="D14" s="218"/>
      <c r="E14" s="219" t="s">
        <v>221</v>
      </c>
      <c r="F14" s="220"/>
      <c r="G14" s="113"/>
      <c r="H14" s="114"/>
    </row>
    <row r="15" spans="2:8" ht="26.1" customHeight="1" x14ac:dyDescent="0.25">
      <c r="B15" s="110"/>
      <c r="C15" s="217" t="s">
        <v>164</v>
      </c>
      <c r="D15" s="218"/>
      <c r="E15" s="219" t="s">
        <v>222</v>
      </c>
      <c r="F15" s="220"/>
      <c r="G15" s="113"/>
      <c r="H15" s="114"/>
    </row>
    <row r="16" spans="2:8" ht="25.35" customHeight="1" x14ac:dyDescent="0.25">
      <c r="B16" s="110"/>
      <c r="C16" s="217" t="s">
        <v>165</v>
      </c>
      <c r="D16" s="218"/>
      <c r="E16" s="219" t="s">
        <v>223</v>
      </c>
      <c r="F16" s="220"/>
      <c r="G16" s="113"/>
      <c r="H16" s="114"/>
    </row>
    <row r="17" spans="2:8" ht="21" customHeight="1" x14ac:dyDescent="0.25">
      <c r="B17" s="110"/>
      <c r="C17" s="217" t="s">
        <v>150</v>
      </c>
      <c r="D17" s="218"/>
      <c r="E17" s="219" t="s">
        <v>224</v>
      </c>
      <c r="F17" s="220"/>
      <c r="G17" s="113"/>
      <c r="H17" s="114"/>
    </row>
    <row r="18" spans="2:8" ht="83.45" customHeight="1" x14ac:dyDescent="0.25">
      <c r="B18" s="110"/>
      <c r="C18" s="186" t="s">
        <v>184</v>
      </c>
      <c r="D18" s="187"/>
      <c r="E18" s="184" t="s">
        <v>225</v>
      </c>
      <c r="F18" s="185"/>
      <c r="G18" s="113"/>
      <c r="H18" s="114"/>
    </row>
    <row r="19" spans="2:8" ht="34.5" customHeight="1" x14ac:dyDescent="0.25">
      <c r="B19" s="110"/>
      <c r="C19" s="186" t="s">
        <v>2</v>
      </c>
      <c r="D19" s="187"/>
      <c r="E19" s="184" t="s">
        <v>226</v>
      </c>
      <c r="F19" s="185"/>
      <c r="G19" s="113"/>
      <c r="H19" s="114"/>
    </row>
    <row r="20" spans="2:8" ht="87" customHeight="1" x14ac:dyDescent="0.25">
      <c r="B20" s="110"/>
      <c r="C20" s="182" t="s">
        <v>181</v>
      </c>
      <c r="D20" s="183"/>
      <c r="E20" s="184" t="s">
        <v>227</v>
      </c>
      <c r="F20" s="185"/>
      <c r="G20" s="113"/>
      <c r="H20" s="114"/>
    </row>
    <row r="21" spans="2:8" ht="103.35" customHeight="1" x14ac:dyDescent="0.25">
      <c r="B21" s="110"/>
      <c r="C21" s="182" t="s">
        <v>182</v>
      </c>
      <c r="D21" s="183"/>
      <c r="E21" s="184" t="s">
        <v>228</v>
      </c>
      <c r="F21" s="185"/>
      <c r="G21" s="113"/>
      <c r="H21" s="114"/>
    </row>
    <row r="22" spans="2:8" ht="72.75" customHeight="1" x14ac:dyDescent="0.25">
      <c r="B22" s="110"/>
      <c r="C22" s="182" t="s">
        <v>192</v>
      </c>
      <c r="D22" s="183"/>
      <c r="E22" s="184" t="s">
        <v>229</v>
      </c>
      <c r="F22" s="185"/>
      <c r="G22" s="113"/>
      <c r="H22" s="114"/>
    </row>
    <row r="23" spans="2:8" ht="72.75" customHeight="1" x14ac:dyDescent="0.25">
      <c r="B23" s="110"/>
      <c r="C23" s="182" t="s">
        <v>1</v>
      </c>
      <c r="D23" s="183"/>
      <c r="E23" s="184" t="s">
        <v>230</v>
      </c>
      <c r="F23" s="185"/>
      <c r="G23" s="113"/>
      <c r="H23" s="114"/>
    </row>
    <row r="24" spans="2:8" ht="102.6" customHeight="1" x14ac:dyDescent="0.25">
      <c r="B24" s="110"/>
      <c r="C24" s="182" t="s">
        <v>48</v>
      </c>
      <c r="D24" s="183"/>
      <c r="E24" s="184" t="s">
        <v>231</v>
      </c>
      <c r="F24" s="185"/>
      <c r="G24" s="113"/>
      <c r="H24" s="114"/>
    </row>
    <row r="25" spans="2:8" ht="106.35" customHeight="1" x14ac:dyDescent="0.25">
      <c r="B25" s="110"/>
      <c r="C25" s="182" t="s">
        <v>152</v>
      </c>
      <c r="D25" s="183"/>
      <c r="E25" s="184" t="s">
        <v>232</v>
      </c>
      <c r="F25" s="185"/>
      <c r="G25" s="113"/>
      <c r="H25" s="114"/>
    </row>
    <row r="26" spans="2:8" ht="87" customHeight="1" x14ac:dyDescent="0.25">
      <c r="B26" s="110"/>
      <c r="C26" s="186" t="s">
        <v>153</v>
      </c>
      <c r="D26" s="187"/>
      <c r="E26" s="184" t="s">
        <v>233</v>
      </c>
      <c r="F26" s="185"/>
      <c r="G26" s="113"/>
      <c r="H26" s="114"/>
    </row>
    <row r="27" spans="2:8" ht="42" customHeight="1" x14ac:dyDescent="0.25">
      <c r="B27" s="110"/>
      <c r="C27" s="186" t="s">
        <v>46</v>
      </c>
      <c r="D27" s="187"/>
      <c r="E27" s="184" t="s">
        <v>154</v>
      </c>
      <c r="F27" s="185"/>
      <c r="G27" s="113"/>
      <c r="H27" s="114"/>
    </row>
    <row r="28" spans="2:8" ht="30.6" customHeight="1" x14ac:dyDescent="0.25">
      <c r="B28" s="110"/>
      <c r="C28" s="186" t="s">
        <v>10</v>
      </c>
      <c r="D28" s="187"/>
      <c r="E28" s="184" t="s">
        <v>234</v>
      </c>
      <c r="F28" s="185"/>
      <c r="G28" s="113"/>
      <c r="H28" s="114"/>
    </row>
    <row r="29" spans="2:8" ht="59.25" customHeight="1" x14ac:dyDescent="0.25">
      <c r="B29" s="110"/>
      <c r="C29" s="186" t="s">
        <v>146</v>
      </c>
      <c r="D29" s="187"/>
      <c r="E29" s="184" t="s">
        <v>155</v>
      </c>
      <c r="F29" s="185"/>
      <c r="G29" s="113"/>
      <c r="H29" s="114"/>
    </row>
    <row r="30" spans="2:8" ht="27.6" customHeight="1" x14ac:dyDescent="0.25">
      <c r="B30" s="110"/>
      <c r="C30" s="186" t="s">
        <v>11</v>
      </c>
      <c r="D30" s="187"/>
      <c r="E30" s="184" t="s">
        <v>235</v>
      </c>
      <c r="F30" s="185"/>
      <c r="G30" s="113"/>
      <c r="H30" s="114"/>
    </row>
    <row r="31" spans="2:8" ht="41.45" customHeight="1" x14ac:dyDescent="0.25">
      <c r="B31" s="110"/>
      <c r="C31" s="186" t="s">
        <v>156</v>
      </c>
      <c r="D31" s="187"/>
      <c r="E31" s="184" t="s">
        <v>236</v>
      </c>
      <c r="F31" s="185"/>
      <c r="G31" s="113"/>
      <c r="H31" s="114"/>
    </row>
    <row r="32" spans="2:8" ht="35.25" customHeight="1" x14ac:dyDescent="0.25">
      <c r="B32" s="110"/>
      <c r="C32" s="186" t="s">
        <v>157</v>
      </c>
      <c r="D32" s="187"/>
      <c r="E32" s="184" t="s">
        <v>237</v>
      </c>
      <c r="F32" s="185"/>
      <c r="G32" s="113"/>
      <c r="H32" s="114"/>
    </row>
    <row r="33" spans="2:8" ht="30" customHeight="1" x14ac:dyDescent="0.25">
      <c r="B33" s="110"/>
      <c r="C33" s="186" t="s">
        <v>158</v>
      </c>
      <c r="D33" s="187"/>
      <c r="E33" s="184" t="s">
        <v>238</v>
      </c>
      <c r="F33" s="185"/>
      <c r="G33" s="113"/>
      <c r="H33" s="114"/>
    </row>
    <row r="34" spans="2:8" ht="35.25" customHeight="1" x14ac:dyDescent="0.25">
      <c r="B34" s="110"/>
      <c r="C34" s="186" t="s">
        <v>159</v>
      </c>
      <c r="D34" s="187"/>
      <c r="E34" s="184" t="s">
        <v>239</v>
      </c>
      <c r="F34" s="185"/>
      <c r="G34" s="113"/>
      <c r="H34" s="114"/>
    </row>
    <row r="35" spans="2:8" ht="31.5" customHeight="1" x14ac:dyDescent="0.25">
      <c r="B35" s="110"/>
      <c r="C35" s="186" t="s">
        <v>160</v>
      </c>
      <c r="D35" s="187"/>
      <c r="E35" s="184" t="s">
        <v>240</v>
      </c>
      <c r="F35" s="185"/>
      <c r="G35" s="113"/>
      <c r="H35" s="114"/>
    </row>
    <row r="36" spans="2:8" ht="35.25" customHeight="1" x14ac:dyDescent="0.25">
      <c r="B36" s="110"/>
      <c r="C36" s="186" t="s">
        <v>161</v>
      </c>
      <c r="D36" s="187"/>
      <c r="E36" s="184" t="s">
        <v>241</v>
      </c>
      <c r="F36" s="185"/>
      <c r="G36" s="113"/>
      <c r="H36" s="114"/>
    </row>
    <row r="37" spans="2:8" ht="101.45" customHeight="1" x14ac:dyDescent="0.25">
      <c r="B37" s="110"/>
      <c r="C37" s="186" t="s">
        <v>242</v>
      </c>
      <c r="D37" s="187"/>
      <c r="E37" s="184" t="s">
        <v>243</v>
      </c>
      <c r="F37" s="185"/>
      <c r="G37" s="113"/>
      <c r="H37" s="114"/>
    </row>
    <row r="38" spans="2:8" ht="29.25" customHeight="1" x14ac:dyDescent="0.25">
      <c r="B38" s="110"/>
      <c r="C38" s="186" t="s">
        <v>28</v>
      </c>
      <c r="D38" s="187"/>
      <c r="E38" s="184" t="s">
        <v>244</v>
      </c>
      <c r="F38" s="185"/>
      <c r="G38" s="113"/>
      <c r="H38" s="114"/>
    </row>
    <row r="39" spans="2:8" ht="82.5" customHeight="1" x14ac:dyDescent="0.25">
      <c r="B39" s="110"/>
      <c r="C39" s="186" t="s">
        <v>162</v>
      </c>
      <c r="D39" s="187"/>
      <c r="E39" s="184" t="s">
        <v>245</v>
      </c>
      <c r="F39" s="185"/>
      <c r="G39" s="113"/>
      <c r="H39" s="114"/>
    </row>
    <row r="40" spans="2:8" ht="46.5" customHeight="1" x14ac:dyDescent="0.25">
      <c r="B40" s="110"/>
      <c r="C40" s="186" t="s">
        <v>38</v>
      </c>
      <c r="D40" s="187"/>
      <c r="E40" s="184" t="s">
        <v>246</v>
      </c>
      <c r="F40" s="185"/>
      <c r="G40" s="113"/>
      <c r="H40" s="114"/>
    </row>
    <row r="41" spans="2:8" ht="6.75" customHeight="1" thickBot="1" x14ac:dyDescent="0.3">
      <c r="B41" s="110"/>
      <c r="C41" s="191"/>
      <c r="D41" s="192"/>
      <c r="E41" s="193"/>
      <c r="F41" s="194"/>
      <c r="G41" s="113"/>
      <c r="H41" s="114"/>
    </row>
    <row r="42" spans="2:8" ht="15.75" thickTop="1" x14ac:dyDescent="0.25">
      <c r="B42" s="110"/>
      <c r="C42" s="111"/>
      <c r="D42" s="111"/>
      <c r="E42" s="112"/>
      <c r="F42" s="112"/>
      <c r="G42" s="113"/>
      <c r="H42" s="114"/>
    </row>
    <row r="43" spans="2:8" ht="21" customHeight="1" x14ac:dyDescent="0.25">
      <c r="B43" s="188" t="s">
        <v>168</v>
      </c>
      <c r="C43" s="189"/>
      <c r="D43" s="189"/>
      <c r="E43" s="189"/>
      <c r="F43" s="189"/>
      <c r="G43" s="189"/>
      <c r="H43" s="190"/>
    </row>
    <row r="44" spans="2:8" ht="20.25" customHeight="1" x14ac:dyDescent="0.25">
      <c r="B44" s="188" t="s">
        <v>169</v>
      </c>
      <c r="C44" s="189"/>
      <c r="D44" s="189"/>
      <c r="E44" s="189"/>
      <c r="F44" s="189"/>
      <c r="G44" s="189"/>
      <c r="H44" s="190"/>
    </row>
    <row r="45" spans="2:8" ht="20.25" customHeight="1" x14ac:dyDescent="0.25">
      <c r="B45" s="188" t="s">
        <v>170</v>
      </c>
      <c r="C45" s="189"/>
      <c r="D45" s="189"/>
      <c r="E45" s="189"/>
      <c r="F45" s="189"/>
      <c r="G45" s="189"/>
      <c r="H45" s="190"/>
    </row>
    <row r="46" spans="2:8" ht="20.25" customHeight="1" x14ac:dyDescent="0.25">
      <c r="B46" s="188" t="s">
        <v>171</v>
      </c>
      <c r="C46" s="189"/>
      <c r="D46" s="189"/>
      <c r="E46" s="189"/>
      <c r="F46" s="189"/>
      <c r="G46" s="189"/>
      <c r="H46" s="190"/>
    </row>
    <row r="47" spans="2:8" x14ac:dyDescent="0.25">
      <c r="B47" s="188" t="s">
        <v>172</v>
      </c>
      <c r="C47" s="189"/>
      <c r="D47" s="189"/>
      <c r="E47" s="189"/>
      <c r="F47" s="189"/>
      <c r="G47" s="189"/>
      <c r="H47" s="190"/>
    </row>
    <row r="48" spans="2:8" ht="15.75" thickBot="1" x14ac:dyDescent="0.3">
      <c r="B48" s="115"/>
      <c r="C48" s="116"/>
      <c r="D48" s="116"/>
      <c r="E48" s="116"/>
      <c r="F48" s="116"/>
      <c r="G48" s="116"/>
      <c r="H48" s="117"/>
    </row>
  </sheetData>
  <mergeCells count="70">
    <mergeCell ref="C19:D19"/>
    <mergeCell ref="E19:F19"/>
    <mergeCell ref="C17:D17"/>
    <mergeCell ref="E17:F17"/>
    <mergeCell ref="C15:D15"/>
    <mergeCell ref="E15:F15"/>
    <mergeCell ref="C16:D16"/>
    <mergeCell ref="E16:F16"/>
    <mergeCell ref="E31:F31"/>
    <mergeCell ref="B2:H2"/>
    <mergeCell ref="B4:H5"/>
    <mergeCell ref="B6:H6"/>
    <mergeCell ref="B9:H10"/>
    <mergeCell ref="C12:D12"/>
    <mergeCell ref="E12:F12"/>
    <mergeCell ref="B7:H7"/>
    <mergeCell ref="C13:D13"/>
    <mergeCell ref="E13:F13"/>
    <mergeCell ref="C18:D18"/>
    <mergeCell ref="E18:F18"/>
    <mergeCell ref="C22:D22"/>
    <mergeCell ref="E22:F22"/>
    <mergeCell ref="C14:D14"/>
    <mergeCell ref="E14:F14"/>
    <mergeCell ref="E39:F39"/>
    <mergeCell ref="B45:H45"/>
    <mergeCell ref="B46:H46"/>
    <mergeCell ref="B47:H47"/>
    <mergeCell ref="E26:F26"/>
    <mergeCell ref="C26:D26"/>
    <mergeCell ref="C27:D27"/>
    <mergeCell ref="E27:F27"/>
    <mergeCell ref="C30:D30"/>
    <mergeCell ref="E30:F30"/>
    <mergeCell ref="E37:F37"/>
    <mergeCell ref="C35:D35"/>
    <mergeCell ref="C34:D34"/>
    <mergeCell ref="E34:F34"/>
    <mergeCell ref="E35:F35"/>
    <mergeCell ref="C31:D31"/>
    <mergeCell ref="E32:F32"/>
    <mergeCell ref="C32:D32"/>
    <mergeCell ref="B44:H44"/>
    <mergeCell ref="C41:D41"/>
    <mergeCell ref="E41:F41"/>
    <mergeCell ref="C40:D40"/>
    <mergeCell ref="E40:F40"/>
    <mergeCell ref="C36:D36"/>
    <mergeCell ref="B43:H43"/>
    <mergeCell ref="C33:D33"/>
    <mergeCell ref="E33:F33"/>
    <mergeCell ref="E36:F36"/>
    <mergeCell ref="C37:D37"/>
    <mergeCell ref="C38:D38"/>
    <mergeCell ref="E38:F38"/>
    <mergeCell ref="C39:D39"/>
    <mergeCell ref="C24:D24"/>
    <mergeCell ref="C20:D20"/>
    <mergeCell ref="E25:F25"/>
    <mergeCell ref="C25:D25"/>
    <mergeCell ref="C29:D29"/>
    <mergeCell ref="E29:F29"/>
    <mergeCell ref="C28:D28"/>
    <mergeCell ref="E28:F28"/>
    <mergeCell ref="C21:D21"/>
    <mergeCell ref="C23:D23"/>
    <mergeCell ref="E20:F20"/>
    <mergeCell ref="E21:F21"/>
    <mergeCell ref="E23:F23"/>
    <mergeCell ref="E24:F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13</v>
      </c>
    </row>
    <row r="4" spans="1:1" x14ac:dyDescent="0.2">
      <c r="A4" s="10" t="s">
        <v>14</v>
      </c>
    </row>
    <row r="5" spans="1:1" x14ac:dyDescent="0.2">
      <c r="A5" s="10" t="s">
        <v>15</v>
      </c>
    </row>
    <row r="6" spans="1:1" x14ac:dyDescent="0.2">
      <c r="A6" s="10" t="s">
        <v>9</v>
      </c>
    </row>
    <row r="7" spans="1:1" x14ac:dyDescent="0.2">
      <c r="A7" s="10" t="s">
        <v>8</v>
      </c>
    </row>
    <row r="8" spans="1:1" x14ac:dyDescent="0.2">
      <c r="A8" s="10" t="s">
        <v>18</v>
      </c>
    </row>
    <row r="9" spans="1:1" x14ac:dyDescent="0.2">
      <c r="A9" s="10" t="s">
        <v>19</v>
      </c>
    </row>
    <row r="10" spans="1:1" x14ac:dyDescent="0.2">
      <c r="A10" s="10" t="s">
        <v>21</v>
      </c>
    </row>
    <row r="11" spans="1:1" x14ac:dyDescent="0.2">
      <c r="A11" s="10" t="s">
        <v>22</v>
      </c>
    </row>
    <row r="12" spans="1:1" x14ac:dyDescent="0.2">
      <c r="A12" s="10" t="s">
        <v>24</v>
      </c>
    </row>
    <row r="13" spans="1:1" x14ac:dyDescent="0.2">
      <c r="A13" s="10" t="s">
        <v>25</v>
      </c>
    </row>
    <row r="14" spans="1:1" x14ac:dyDescent="0.2">
      <c r="A14" s="10" t="s">
        <v>26</v>
      </c>
    </row>
    <row r="16" spans="1:1" x14ac:dyDescent="0.2">
      <c r="A16" s="10" t="s">
        <v>29</v>
      </c>
    </row>
    <row r="17" spans="1:1" x14ac:dyDescent="0.2">
      <c r="A17" s="10" t="s">
        <v>30</v>
      </c>
    </row>
    <row r="18" spans="1:1" x14ac:dyDescent="0.2">
      <c r="A18" s="10" t="s">
        <v>31</v>
      </c>
    </row>
    <row r="20" spans="1:1" x14ac:dyDescent="0.2">
      <c r="A20" s="10" t="s">
        <v>39</v>
      </c>
    </row>
    <row r="21" spans="1:1" x14ac:dyDescent="0.2">
      <c r="A21" s="10"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R71"/>
  <sheetViews>
    <sheetView tabSelected="1" topLeftCell="A7" zoomScale="110" zoomScaleNormal="110" workbookViewId="0">
      <selection activeCell="C11" sqref="C11"/>
    </sheetView>
  </sheetViews>
  <sheetFormatPr baseColWidth="10" defaultColWidth="11.42578125" defaultRowHeight="16.5" x14ac:dyDescent="0.3"/>
  <cols>
    <col min="1" max="1" width="4" style="2" bestFit="1" customWidth="1"/>
    <col min="2" max="2" width="27.28515625" style="2" customWidth="1"/>
    <col min="3" max="4" width="36.140625" style="2" customWidth="1"/>
    <col min="5" max="5" width="32.42578125" style="1" customWidth="1"/>
    <col min="6" max="7" width="36.140625" style="2" customWidth="1"/>
    <col min="8" max="8" width="19" style="5" customWidth="1"/>
    <col min="9" max="9" width="17.85546875" style="1" customWidth="1"/>
    <col min="10" max="10" width="16.42578125" style="1" customWidth="1"/>
    <col min="11" max="11" width="6.28515625" style="1" bestFit="1" customWidth="1"/>
    <col min="12" max="12" width="27.28515625" style="1" bestFit="1" customWidth="1"/>
    <col min="13" max="13" width="30.42578125" style="1" hidden="1" customWidth="1"/>
    <col min="14" max="14" width="17.42578125" style="1" customWidth="1"/>
    <col min="15" max="15" width="6.28515625" style="1" bestFit="1" customWidth="1"/>
    <col min="16" max="16" width="16" style="1" customWidth="1"/>
    <col min="17" max="17" width="5.85546875" style="1" customWidth="1"/>
    <col min="18" max="18" width="31" style="1" customWidth="1"/>
    <col min="19" max="19" width="15.140625" style="1" bestFit="1" customWidth="1"/>
    <col min="20" max="20" width="6.85546875" style="1" customWidth="1"/>
    <col min="21" max="21" width="5" style="1" customWidth="1"/>
    <col min="22" max="22" width="5.42578125" style="1" customWidth="1"/>
    <col min="23" max="23" width="7.140625" style="1" customWidth="1"/>
    <col min="24" max="24" width="6.7109375" style="1" customWidth="1"/>
    <col min="25" max="25" width="7.42578125" style="1" customWidth="1"/>
    <col min="26" max="26" width="38.28515625" style="1" customWidth="1"/>
    <col min="27" max="27" width="8.7109375" style="1" customWidth="1"/>
    <col min="28" max="28" width="10.42578125" style="1" customWidth="1"/>
    <col min="29" max="29" width="9.28515625" style="1" customWidth="1"/>
    <col min="30" max="30" width="9.140625" style="1" customWidth="1"/>
    <col min="31" max="31" width="8.42578125" style="1" customWidth="1"/>
    <col min="32" max="32" width="7.28515625" style="1" customWidth="1"/>
    <col min="33" max="33" width="23" style="1" customWidth="1"/>
    <col min="34" max="34" width="18.85546875" style="1" customWidth="1"/>
    <col min="35" max="35" width="16.85546875" style="1" customWidth="1"/>
    <col min="36" max="36" width="14.85546875" style="1" customWidth="1"/>
    <col min="37" max="37" width="18.42578125" style="1" customWidth="1"/>
    <col min="38" max="38" width="21" style="1" customWidth="1"/>
    <col min="39" max="16384" width="11.42578125" style="1"/>
  </cols>
  <sheetData>
    <row r="1" spans="1:70" ht="16.5" customHeight="1" x14ac:dyDescent="0.3">
      <c r="A1" s="240" t="s">
        <v>127</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2"/>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row>
    <row r="2" spans="1:70" ht="9" customHeight="1" x14ac:dyDescent="0.3">
      <c r="A2" s="243"/>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5"/>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x14ac:dyDescent="0.3">
      <c r="A3" s="28"/>
      <c r="B3" s="29"/>
      <c r="C3" s="28"/>
      <c r="D3" s="28"/>
      <c r="E3" s="8"/>
      <c r="F3" s="28"/>
      <c r="G3" s="28"/>
      <c r="H3" s="2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9.5" customHeight="1" x14ac:dyDescent="0.3">
      <c r="A4" s="250" t="s">
        <v>41</v>
      </c>
      <c r="B4" s="251"/>
      <c r="C4" s="275" t="s">
        <v>270</v>
      </c>
      <c r="D4" s="276"/>
      <c r="E4" s="276"/>
      <c r="F4" s="276"/>
      <c r="G4" s="276"/>
      <c r="H4" s="276"/>
      <c r="I4" s="276"/>
      <c r="J4" s="276"/>
      <c r="K4" s="276"/>
      <c r="L4" s="276"/>
      <c r="M4" s="276"/>
      <c r="N4" s="276"/>
      <c r="O4" s="276"/>
      <c r="P4" s="277"/>
      <c r="Q4" s="239"/>
      <c r="R4" s="239"/>
      <c r="S4" s="239"/>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24" customHeight="1" x14ac:dyDescent="0.3">
      <c r="A5" s="250" t="s">
        <v>174</v>
      </c>
      <c r="B5" s="251"/>
      <c r="C5" s="258" t="s">
        <v>247</v>
      </c>
      <c r="D5" s="259"/>
      <c r="E5" s="259"/>
      <c r="F5" s="259"/>
      <c r="G5" s="259"/>
      <c r="H5" s="259"/>
      <c r="I5" s="259"/>
      <c r="J5" s="259"/>
      <c r="K5" s="259"/>
      <c r="L5" s="259"/>
      <c r="M5" s="259"/>
      <c r="N5" s="259"/>
      <c r="O5" s="259"/>
      <c r="P5" s="260"/>
      <c r="Q5" s="239"/>
      <c r="R5" s="239"/>
      <c r="S5" s="239"/>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23.25" customHeight="1" x14ac:dyDescent="0.3">
      <c r="A6" s="250" t="s">
        <v>115</v>
      </c>
      <c r="B6" s="251"/>
      <c r="C6" s="258" t="s">
        <v>286</v>
      </c>
      <c r="D6" s="259"/>
      <c r="E6" s="259"/>
      <c r="F6" s="259"/>
      <c r="G6" s="259"/>
      <c r="H6" s="259"/>
      <c r="I6" s="259"/>
      <c r="J6" s="259"/>
      <c r="K6" s="259"/>
      <c r="L6" s="259"/>
      <c r="M6" s="259"/>
      <c r="N6" s="259"/>
      <c r="O6" s="259"/>
      <c r="P6" s="260"/>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row>
    <row r="7" spans="1:70" ht="20.25" customHeight="1" x14ac:dyDescent="0.3">
      <c r="A7" s="250" t="s">
        <v>42</v>
      </c>
      <c r="B7" s="251"/>
      <c r="C7" s="261"/>
      <c r="D7" s="262"/>
      <c r="E7" s="262"/>
      <c r="F7" s="262"/>
      <c r="G7" s="262"/>
      <c r="H7" s="262"/>
      <c r="I7" s="262"/>
      <c r="J7" s="262"/>
      <c r="K7" s="262"/>
      <c r="L7" s="262"/>
      <c r="M7" s="262"/>
      <c r="N7" s="262"/>
      <c r="O7" s="262"/>
      <c r="P7" s="263"/>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row>
    <row r="8" spans="1:70" x14ac:dyDescent="0.3">
      <c r="A8" s="246" t="s">
        <v>123</v>
      </c>
      <c r="B8" s="247"/>
      <c r="C8" s="247"/>
      <c r="D8" s="247"/>
      <c r="E8" s="247"/>
      <c r="F8" s="247"/>
      <c r="G8" s="247"/>
      <c r="H8" s="247"/>
      <c r="I8" s="248"/>
      <c r="J8" s="246" t="s">
        <v>124</v>
      </c>
      <c r="K8" s="247"/>
      <c r="L8" s="247"/>
      <c r="M8" s="247"/>
      <c r="N8" s="247"/>
      <c r="O8" s="247"/>
      <c r="P8" s="248"/>
      <c r="Q8" s="246" t="s">
        <v>125</v>
      </c>
      <c r="R8" s="247"/>
      <c r="S8" s="247"/>
      <c r="T8" s="247"/>
      <c r="U8" s="247"/>
      <c r="V8" s="247"/>
      <c r="W8" s="247"/>
      <c r="X8" s="247"/>
      <c r="Y8" s="248"/>
      <c r="Z8" s="246" t="s">
        <v>126</v>
      </c>
      <c r="AA8" s="247"/>
      <c r="AB8" s="247"/>
      <c r="AC8" s="247"/>
      <c r="AD8" s="247"/>
      <c r="AE8" s="247"/>
      <c r="AF8" s="248"/>
      <c r="AG8" s="246" t="s">
        <v>33</v>
      </c>
      <c r="AH8" s="247"/>
      <c r="AI8" s="247"/>
      <c r="AJ8" s="247"/>
      <c r="AK8" s="247"/>
      <c r="AL8" s="24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row>
    <row r="9" spans="1:70" ht="16.5" customHeight="1" x14ac:dyDescent="0.3">
      <c r="A9" s="252" t="s">
        <v>0</v>
      </c>
      <c r="B9" s="255" t="s">
        <v>183</v>
      </c>
      <c r="C9" s="272" t="s">
        <v>2</v>
      </c>
      <c r="D9" s="254" t="s">
        <v>181</v>
      </c>
      <c r="E9" s="255" t="s">
        <v>182</v>
      </c>
      <c r="F9" s="271" t="s">
        <v>192</v>
      </c>
      <c r="G9" s="255" t="s">
        <v>292</v>
      </c>
      <c r="H9" s="254" t="s">
        <v>48</v>
      </c>
      <c r="I9" s="255" t="s">
        <v>119</v>
      </c>
      <c r="J9" s="278" t="s">
        <v>32</v>
      </c>
      <c r="K9" s="279" t="s">
        <v>4</v>
      </c>
      <c r="L9" s="254" t="s">
        <v>84</v>
      </c>
      <c r="M9" s="254" t="s">
        <v>89</v>
      </c>
      <c r="N9" s="281" t="s">
        <v>43</v>
      </c>
      <c r="O9" s="279" t="s">
        <v>4</v>
      </c>
      <c r="P9" s="255" t="s">
        <v>46</v>
      </c>
      <c r="Q9" s="256" t="s">
        <v>10</v>
      </c>
      <c r="R9" s="249" t="s">
        <v>146</v>
      </c>
      <c r="S9" s="254" t="s">
        <v>11</v>
      </c>
      <c r="T9" s="249" t="s">
        <v>7</v>
      </c>
      <c r="U9" s="249"/>
      <c r="V9" s="249"/>
      <c r="W9" s="249"/>
      <c r="X9" s="249"/>
      <c r="Y9" s="249"/>
      <c r="Z9" s="264" t="s">
        <v>122</v>
      </c>
      <c r="AA9" s="264" t="s">
        <v>44</v>
      </c>
      <c r="AB9" s="264" t="s">
        <v>4</v>
      </c>
      <c r="AC9" s="264" t="s">
        <v>45</v>
      </c>
      <c r="AD9" s="264" t="s">
        <v>4</v>
      </c>
      <c r="AE9" s="264" t="s">
        <v>47</v>
      </c>
      <c r="AF9" s="256" t="s">
        <v>28</v>
      </c>
      <c r="AG9" s="249" t="s">
        <v>33</v>
      </c>
      <c r="AH9" s="249" t="s">
        <v>34</v>
      </c>
      <c r="AI9" s="249" t="s">
        <v>35</v>
      </c>
      <c r="AJ9" s="249" t="s">
        <v>37</v>
      </c>
      <c r="AK9" s="249" t="s">
        <v>36</v>
      </c>
      <c r="AL9" s="249" t="s">
        <v>38</v>
      </c>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row>
    <row r="10" spans="1:70" s="4" customFormat="1" ht="19.5" customHeight="1" x14ac:dyDescent="0.25">
      <c r="A10" s="253"/>
      <c r="B10" s="249"/>
      <c r="C10" s="272"/>
      <c r="D10" s="255"/>
      <c r="E10" s="249"/>
      <c r="F10" s="272"/>
      <c r="G10" s="249"/>
      <c r="H10" s="255"/>
      <c r="I10" s="249"/>
      <c r="J10" s="255"/>
      <c r="K10" s="280"/>
      <c r="L10" s="255"/>
      <c r="M10" s="255"/>
      <c r="N10" s="280"/>
      <c r="O10" s="280"/>
      <c r="P10" s="249"/>
      <c r="Q10" s="257"/>
      <c r="R10" s="249"/>
      <c r="S10" s="255"/>
      <c r="T10" s="7" t="s">
        <v>12</v>
      </c>
      <c r="U10" s="7" t="s">
        <v>16</v>
      </c>
      <c r="V10" s="7" t="s">
        <v>27</v>
      </c>
      <c r="W10" s="7" t="s">
        <v>17</v>
      </c>
      <c r="X10" s="7" t="s">
        <v>20</v>
      </c>
      <c r="Y10" s="7" t="s">
        <v>23</v>
      </c>
      <c r="Z10" s="264"/>
      <c r="AA10" s="264"/>
      <c r="AB10" s="264"/>
      <c r="AC10" s="264"/>
      <c r="AD10" s="264"/>
      <c r="AE10" s="264"/>
      <c r="AF10" s="257"/>
      <c r="AG10" s="249"/>
      <c r="AH10" s="249"/>
      <c r="AI10" s="249"/>
      <c r="AJ10" s="249"/>
      <c r="AK10" s="249"/>
      <c r="AL10" s="249"/>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row>
    <row r="11" spans="1:70" s="3" customFormat="1" ht="101.25" customHeight="1" x14ac:dyDescent="0.25">
      <c r="A11" s="168">
        <v>1</v>
      </c>
      <c r="B11" s="161" t="s">
        <v>185</v>
      </c>
      <c r="C11" s="161" t="s">
        <v>116</v>
      </c>
      <c r="D11" s="161" t="s">
        <v>287</v>
      </c>
      <c r="E11" s="161" t="s">
        <v>288</v>
      </c>
      <c r="F11" s="181" t="s">
        <v>194</v>
      </c>
      <c r="G11" s="166" t="s">
        <v>291</v>
      </c>
      <c r="H11" s="161" t="s">
        <v>217</v>
      </c>
      <c r="I11" s="178">
        <v>52</v>
      </c>
      <c r="J11" s="179" t="str">
        <f>IF(I11&lt;=0,"",IF(I11&lt;=5,"Muy Baja",IF(I11&lt;=24,"Baja",IF(I11&lt;=150,"Media",IF(I11&lt;=300,"Alta","Muy Alta")))))</f>
        <v>Media</v>
      </c>
      <c r="K11" s="180">
        <f>IF(J11="","",IF(J11="Muy Baja",0.2,IF(J11="Baja",0.4,IF(J11="Media",0.6,IF(J11="Alta",0.8,IF(J11="Muy Alta",1,))))))</f>
        <v>0.6</v>
      </c>
      <c r="L11" s="177" t="s">
        <v>138</v>
      </c>
      <c r="M11" s="233" t="str">
        <f ca="1">IF(NOT(ISERROR(MATCH(L11,'Tabla Impacto'!$B$221:$B$223,0))),'Tabla Impacto'!$F$223&amp;"Por favor no seleccionar los criterios de impacto(Afectación Económica o presupuestal y Pérdida Reputacional)",L11)</f>
        <v xml:space="preserve">     El riesgo afecta la imagen de la entidad con algunos usuarios de relevancia frente al logro de los objetivos</v>
      </c>
      <c r="N11" s="230" t="str">
        <f ca="1">IF(OR(M11='Tabla Impacto'!$C$11,M11='Tabla Impacto'!$D$11),"Leve",IF(OR(M11='Tabla Impacto'!$C$12,M11='Tabla Impacto'!$D$12),"Menor",IF(OR(M11='Tabla Impacto'!$C$13,M11='Tabla Impacto'!$D$13),"Moderado",IF(OR(M11='Tabla Impacto'!$C$14,M11='Tabla Impacto'!$D$14),"Mayor",IF(OR(M11='Tabla Impacto'!$C$15,M11='Tabla Impacto'!$D$15),"Catastrófico","")))))</f>
        <v>Moderado</v>
      </c>
      <c r="O11" s="233">
        <f ca="1">IF(N11="","",IF(N11="Leve",0.2,IF(N11="Menor",0.4,IF(N11="Moderado",0.6,IF(N11="Mayor",0.8,IF(N11="Catastrófico",1,))))))</f>
        <v>0.6</v>
      </c>
      <c r="P11" s="221" t="str">
        <f ca="1">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Moderado</v>
      </c>
      <c r="Q11" s="125">
        <v>1</v>
      </c>
      <c r="R11" s="126" t="s">
        <v>294</v>
      </c>
      <c r="S11" s="127" t="str">
        <f>IF(OR(T11="Preventivo",T11="Detectivo"),"Probabilidad",IF(T11="Correctivo","Impacto",""))</f>
        <v>Probabilidad</v>
      </c>
      <c r="T11" s="128" t="s">
        <v>13</v>
      </c>
      <c r="U11" s="128" t="s">
        <v>8</v>
      </c>
      <c r="V11" s="129" t="str">
        <f>IF(AND(T11="Preventivo",U11="Automático"),"50%",IF(AND(T11="Preventivo",U11="Manual"),"40%",IF(AND(T11="Detectivo",U11="Automático"),"40%",IF(AND(T11="Detectivo",U11="Manual"),"30%",IF(AND(T11="Correctivo",U11="Automático"),"35%",IF(AND(T11="Correctivo",U11="Manual"),"25%",""))))))</f>
        <v>40%</v>
      </c>
      <c r="W11" s="128" t="s">
        <v>19</v>
      </c>
      <c r="X11" s="128" t="s">
        <v>21</v>
      </c>
      <c r="Y11" s="128" t="s">
        <v>111</v>
      </c>
      <c r="Z11" s="130">
        <f>IFERROR(IF(S11="Probabilidad",(K11-(+K11*V11)),IF(S11="Impacto",K11,"")),"")</f>
        <v>0.36</v>
      </c>
      <c r="AA11" s="131" t="str">
        <f>IFERROR(IF(Z11="","",IF(Z11&lt;=0.2,"Muy Baja",IF(Z11&lt;=0.4,"Baja",IF(Z11&lt;=0.6,"Media",IF(Z11&lt;=0.8,"Alta","Muy Alta"))))),"")</f>
        <v>Baja</v>
      </c>
      <c r="AB11" s="132">
        <f>+Z11</f>
        <v>0.36</v>
      </c>
      <c r="AC11" s="131" t="str">
        <f ca="1">IFERROR(IF(AD11="","",IF(AD11&lt;=0.2,"Leve",IF(AD11&lt;=0.4,"Menor",IF(AD11&lt;=0.6,"Moderado",IF(AD11&lt;=0.8,"Mayor","Catastrófico"))))),"")</f>
        <v>Moderado</v>
      </c>
      <c r="AD11" s="132">
        <f ca="1">IFERROR(IF(S11="Impacto",(O11-(+O11*V11)),IF(S11="Probabilidad",O11,"")),"")</f>
        <v>0.6</v>
      </c>
      <c r="AE11" s="133" t="str">
        <f ca="1">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Moderado</v>
      </c>
      <c r="AF11" s="134" t="s">
        <v>30</v>
      </c>
      <c r="AG11" s="135"/>
      <c r="AH11" s="136"/>
      <c r="AI11" s="137"/>
      <c r="AJ11" s="137"/>
      <c r="AK11" s="135"/>
      <c r="AL11" s="13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row>
    <row r="12" spans="1:70" ht="122.25" customHeight="1" x14ac:dyDescent="0.3">
      <c r="A12" s="169"/>
      <c r="B12" s="161" t="s">
        <v>190</v>
      </c>
      <c r="C12" s="161" t="s">
        <v>116</v>
      </c>
      <c r="D12" s="161" t="s">
        <v>287</v>
      </c>
      <c r="E12" s="161" t="s">
        <v>289</v>
      </c>
      <c r="F12" s="181" t="s">
        <v>197</v>
      </c>
      <c r="G12" s="167" t="s">
        <v>290</v>
      </c>
      <c r="H12" s="161" t="s">
        <v>217</v>
      </c>
      <c r="I12" s="164">
        <v>12</v>
      </c>
      <c r="J12" s="179" t="str">
        <f>IF(I12&lt;=0,"",IF(I12&lt;=5,"Muy Baja",IF(I12&lt;=24,"Baja",IF(I12&lt;=150,"Media",IF(I12&lt;=300,"Alta","Muy Alta")))))</f>
        <v>Baja</v>
      </c>
      <c r="K12" s="173">
        <v>0.4</v>
      </c>
      <c r="L12" s="175" t="s">
        <v>138</v>
      </c>
      <c r="M12" s="234" t="str">
        <f ca="1">IF(NOT(ISERROR(MATCH(L12,_xlfn.ANCHORARRAY(G21),0))),K23&amp;"Por favor no seleccionar los criterios de impacto",L12)</f>
        <v xml:space="preserve">     El riesgo afecta la imagen de la entidad con algunos usuarios de relevancia frente al logro de los objetivos</v>
      </c>
      <c r="N12" s="231"/>
      <c r="O12" s="234"/>
      <c r="P12" s="222"/>
      <c r="Q12" s="125">
        <v>2</v>
      </c>
      <c r="R12" s="126" t="s">
        <v>293</v>
      </c>
      <c r="S12" s="127" t="str">
        <f>IF(OR(T12="Preventivo",T12="Detectivo"),"Probabilidad",IF(T12="Correctivo","Impacto",""))</f>
        <v>Probabilidad</v>
      </c>
      <c r="T12" s="128" t="s">
        <v>13</v>
      </c>
      <c r="U12" s="128" t="s">
        <v>8</v>
      </c>
      <c r="V12" s="129" t="str">
        <f t="shared" ref="V12:V14" si="0">IF(AND(T12="Preventivo",U12="Automático"),"50%",IF(AND(T12="Preventivo",U12="Manual"),"40%",IF(AND(T12="Detectivo",U12="Automático"),"40%",IF(AND(T12="Detectivo",U12="Manual"),"30%",IF(AND(T12="Correctivo",U12="Automático"),"35%",IF(AND(T12="Correctivo",U12="Manual"),"25%",""))))))</f>
        <v>40%</v>
      </c>
      <c r="W12" s="128" t="s">
        <v>19</v>
      </c>
      <c r="X12" s="128" t="s">
        <v>21</v>
      </c>
      <c r="Y12" s="128" t="s">
        <v>111</v>
      </c>
      <c r="Z12" s="130">
        <f>IFERROR(IF(AND(S11="Probabilidad",S12="Probabilidad"),(AB11-(+AB11*V12)),IF(S12="Probabilidad",(K11-(+K11*V12)),IF(S12="Impacto",AB11,""))),"")</f>
        <v>0.216</v>
      </c>
      <c r="AA12" s="131" t="str">
        <f t="shared" ref="AA12:AA68" si="1">IFERROR(IF(Z12="","",IF(Z12&lt;=0.2,"Muy Baja",IF(Z12&lt;=0.4,"Baja",IF(Z12&lt;=0.6,"Media",IF(Z12&lt;=0.8,"Alta","Muy Alta"))))),"")</f>
        <v>Baja</v>
      </c>
      <c r="AB12" s="132">
        <f t="shared" ref="AB12:AB14" si="2">+Z12</f>
        <v>0.216</v>
      </c>
      <c r="AC12" s="131" t="str">
        <f t="shared" ref="AC12:AC68" ca="1" si="3">IFERROR(IF(AD12="","",IF(AD12&lt;=0.2,"Leve",IF(AD12&lt;=0.4,"Menor",IF(AD12&lt;=0.6,"Moderado",IF(AD12&lt;=0.8,"Mayor","Catastrófico"))))),"")</f>
        <v>Moderado</v>
      </c>
      <c r="AD12" s="140">
        <f ca="1">IFERROR(IF(AND(S11="Impacto",S12="Impacto"),(AD11-(+AD11*V12)),IF(S12="Impacto",(O11-(+O11*V12)),IF(S12="Probabilidad",AD11,""))),"")</f>
        <v>0.6</v>
      </c>
      <c r="AE12" s="133" t="str">
        <f t="shared" ref="AE12:AE14" ca="1" si="4">IFERROR(IF(OR(AND(AA12="Muy Baja",AC12="Leve"),AND(AA12="Muy Baja",AC12="Menor"),AND(AA12="Baja",AC12="Leve")),"Bajo",IF(OR(AND(AA12="Muy baja",AC12="Moderado"),AND(AA12="Baja",AC12="Menor"),AND(AA12="Baja",AC12="Moderado"),AND(AA12="Media",AC12="Leve"),AND(AA12="Media",AC12="Menor"),AND(AA12="Media",AC12="Moderado"),AND(AA12="Alta",AC12="Leve"),AND(AA12="Alta",AC12="Menor")),"Moderado",IF(OR(AND(AA12="Muy Baja",AC12="Mayor"),AND(AA12="Baja",AC12="Mayor"),AND(AA12="Media",AC12="Mayor"),AND(AA12="Alta",AC12="Moderado"),AND(AA12="Alta",AC12="Mayor"),AND(AA12="Muy Alta",AC12="Leve"),AND(AA12="Muy Alta",AC12="Menor"),AND(AA12="Muy Alta",AC12="Moderado"),AND(AA12="Muy Alta",AC12="Mayor")),"Alto",IF(OR(AND(AA12="Muy Baja",AC12="Catastrófico"),AND(AA12="Baja",AC12="Catastrófico"),AND(AA12="Media",AC12="Catastrófico"),AND(AA12="Alta",AC12="Catastrófico"),AND(AA12="Muy Alta",AC12="Catastrófico")),"Extremo","")))),"")</f>
        <v>Moderado</v>
      </c>
      <c r="AF12" s="134" t="s">
        <v>30</v>
      </c>
      <c r="AG12" s="135"/>
      <c r="AH12" s="136"/>
      <c r="AI12" s="137"/>
      <c r="AJ12" s="137"/>
      <c r="AK12" s="135"/>
      <c r="AL12" s="136"/>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row>
    <row r="13" spans="1:70" ht="151.5" customHeight="1" x14ac:dyDescent="0.3">
      <c r="A13" s="169"/>
      <c r="B13" s="159"/>
      <c r="C13" s="159"/>
      <c r="D13" s="142"/>
      <c r="E13" s="159"/>
      <c r="F13" s="162"/>
      <c r="G13" s="162"/>
      <c r="H13" s="159"/>
      <c r="I13" s="164"/>
      <c r="J13" s="171"/>
      <c r="K13" s="173"/>
      <c r="L13" s="175"/>
      <c r="M13" s="234">
        <f ca="1">IF(NOT(ISERROR(MATCH(L13,_xlfn.ANCHORARRAY(G24),0))),K26&amp;"Por favor no seleccionar los criterios de impacto",L13)</f>
        <v>0</v>
      </c>
      <c r="N13" s="231"/>
      <c r="O13" s="234"/>
      <c r="P13" s="222"/>
      <c r="Q13" s="125">
        <v>5</v>
      </c>
      <c r="R13" s="126"/>
      <c r="S13" s="127" t="str">
        <f t="shared" ref="S13:S14" si="5">IF(OR(T13="Preventivo",T13="Detectivo"),"Probabilidad",IF(T13="Correctivo","Impacto",""))</f>
        <v/>
      </c>
      <c r="T13" s="128"/>
      <c r="U13" s="128"/>
      <c r="V13" s="129" t="str">
        <f t="shared" si="0"/>
        <v/>
      </c>
      <c r="W13" s="128"/>
      <c r="X13" s="128"/>
      <c r="Y13" s="128"/>
      <c r="Z13" s="130" t="str">
        <f>IFERROR(IF(AND(#REF!="Probabilidad",S13="Probabilidad"),(#REF!-(+#REF!*V13)),IF(AND(#REF!="Impacto",S13="Probabilidad"),(#REF!-(+#REF!*V13)),IF(S13="Impacto",#REF!,""))),"")</f>
        <v/>
      </c>
      <c r="AA13" s="131" t="str">
        <f t="shared" si="1"/>
        <v/>
      </c>
      <c r="AB13" s="132" t="str">
        <f t="shared" si="2"/>
        <v/>
      </c>
      <c r="AC13" s="131" t="str">
        <f t="shared" si="3"/>
        <v/>
      </c>
      <c r="AD13" s="140" t="str">
        <f>IFERROR(IF(AND(#REF!="Impacto",S13="Impacto"),(#REF!-(+#REF!*V13)),IF(AND(#REF!="Probabilidad",S13="Impacto"),(#REF!-(+#REF!*V13)),IF(S13="Probabilidad",#REF!,""))),"")</f>
        <v/>
      </c>
      <c r="AE13" s="133" t="str">
        <f t="shared" si="4"/>
        <v/>
      </c>
      <c r="AF13" s="134"/>
      <c r="AG13" s="135"/>
      <c r="AH13" s="136"/>
      <c r="AI13" s="137"/>
      <c r="AJ13" s="137"/>
      <c r="AK13" s="135"/>
      <c r="AL13" s="136"/>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row>
    <row r="14" spans="1:70" ht="151.5" customHeight="1" x14ac:dyDescent="0.3">
      <c r="A14" s="170"/>
      <c r="B14" s="160"/>
      <c r="C14" s="160"/>
      <c r="D14" s="143"/>
      <c r="E14" s="160"/>
      <c r="F14" s="163"/>
      <c r="G14" s="163"/>
      <c r="H14" s="160"/>
      <c r="I14" s="165"/>
      <c r="J14" s="172"/>
      <c r="K14" s="174"/>
      <c r="L14" s="176"/>
      <c r="M14" s="235">
        <f ca="1">IF(NOT(ISERROR(MATCH(L14,_xlfn.ANCHORARRAY(G25),0))),K27&amp;"Por favor no seleccionar los criterios de impacto",L14)</f>
        <v>0</v>
      </c>
      <c r="N14" s="232"/>
      <c r="O14" s="235"/>
      <c r="P14" s="223"/>
      <c r="Q14" s="125">
        <v>6</v>
      </c>
      <c r="R14" s="126"/>
      <c r="S14" s="127" t="str">
        <f t="shared" si="5"/>
        <v/>
      </c>
      <c r="T14" s="128"/>
      <c r="U14" s="128"/>
      <c r="V14" s="129" t="str">
        <f t="shared" si="0"/>
        <v/>
      </c>
      <c r="W14" s="128"/>
      <c r="X14" s="128"/>
      <c r="Y14" s="128"/>
      <c r="Z14" s="130" t="str">
        <f>IFERROR(IF(AND(S13="Probabilidad",S14="Probabilidad"),(AB13-(+AB13*V14)),IF(AND(S13="Impacto",S14="Probabilidad"),(#REF!-(+#REF!*V14)),IF(S14="Impacto",AB13,""))),"")</f>
        <v/>
      </c>
      <c r="AA14" s="131" t="str">
        <f t="shared" si="1"/>
        <v/>
      </c>
      <c r="AB14" s="132" t="str">
        <f t="shared" si="2"/>
        <v/>
      </c>
      <c r="AC14" s="131" t="str">
        <f t="shared" si="3"/>
        <v/>
      </c>
      <c r="AD14" s="140" t="str">
        <f>IFERROR(IF(AND(S13="Impacto",S14="Impacto"),(AD13-(+AD13*V14)),IF(AND(S13="Probabilidad",S14="Impacto"),(#REF!-(+#REF!*V14)),IF(S14="Probabilidad",AD13,""))),"")</f>
        <v/>
      </c>
      <c r="AE14" s="133" t="str">
        <f t="shared" si="4"/>
        <v/>
      </c>
      <c r="AF14" s="134"/>
      <c r="AG14" s="135"/>
      <c r="AH14" s="136"/>
      <c r="AI14" s="137"/>
      <c r="AJ14" s="137"/>
      <c r="AK14" s="135"/>
      <c r="AL14" s="136"/>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row>
    <row r="15" spans="1:70" ht="151.5" customHeight="1" x14ac:dyDescent="0.3">
      <c r="A15" s="265">
        <v>2</v>
      </c>
      <c r="B15" s="224"/>
      <c r="C15" s="224"/>
      <c r="D15" s="141"/>
      <c r="E15" s="224"/>
      <c r="F15" s="268"/>
      <c r="G15" s="268"/>
      <c r="H15" s="224"/>
      <c r="I15" s="227"/>
      <c r="J15" s="230" t="str">
        <f>IF(I15&lt;=0,"",IF(I15&lt;=2,"Muy Baja",IF(I15&lt;=24,"Baja",IF(I15&lt;=500,"Media",IF(I15&lt;=5000,"Alta","Muy Alta")))))</f>
        <v/>
      </c>
      <c r="K15" s="233" t="str">
        <f>IF(J15="","",IF(J15="Muy Baja",0.2,IF(J15="Baja",0.4,IF(J15="Media",0.6,IF(J15="Alta",0.8,IF(J15="Muy Alta",1,))))))</f>
        <v/>
      </c>
      <c r="L15" s="236"/>
      <c r="M15" s="233">
        <f ca="1">IF(NOT(ISERROR(MATCH(L15,'Tabla Impacto'!$B$221:$B$223,0))),'Tabla Impacto'!$F$223&amp;"Por favor no seleccionar los criterios de impacto(Afectación Económica o presupuestal y Pérdida Reputacional)",L15)</f>
        <v>0</v>
      </c>
      <c r="N15" s="230" t="str">
        <f ca="1">IF(OR(M15='Tabla Impacto'!$C$11,M15='Tabla Impacto'!$D$11),"Leve",IF(OR(M15='Tabla Impacto'!$C$12,M15='Tabla Impacto'!$D$12),"Menor",IF(OR(M15='Tabla Impacto'!$C$13,M15='Tabla Impacto'!$D$13),"Moderado",IF(OR(M15='Tabla Impacto'!$C$14,M15='Tabla Impacto'!$D$14),"Mayor",IF(OR(M15='Tabla Impacto'!$C$15,M15='Tabla Impacto'!$D$15),"Catastrófico","")))))</f>
        <v/>
      </c>
      <c r="O15" s="233" t="str">
        <f ca="1">IF(N15="","",IF(N15="Leve",0.2,IF(N15="Menor",0.4,IF(N15="Moderado",0.6,IF(N15="Mayor",0.8,IF(N15="Catastrófico",1,))))))</f>
        <v/>
      </c>
      <c r="P15" s="221" t="str">
        <f ca="1">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
      </c>
      <c r="Q15" s="125">
        <v>1</v>
      </c>
      <c r="R15" s="126"/>
      <c r="S15" s="127" t="str">
        <f>IF(OR(T15="Preventivo",T15="Detectivo"),"Probabilidad",IF(T15="Correctivo","Impacto",""))</f>
        <v/>
      </c>
      <c r="T15" s="128"/>
      <c r="U15" s="128"/>
      <c r="V15" s="129" t="str">
        <f>IF(AND(T15="Preventivo",U15="Automático"),"50%",IF(AND(T15="Preventivo",U15="Manual"),"40%",IF(AND(T15="Detectivo",U15="Automático"),"40%",IF(AND(T15="Detectivo",U15="Manual"),"30%",IF(AND(T15="Correctivo",U15="Automático"),"35%",IF(AND(T15="Correctivo",U15="Manual"),"25%",""))))))</f>
        <v/>
      </c>
      <c r="W15" s="128"/>
      <c r="X15" s="128"/>
      <c r="Y15" s="128"/>
      <c r="Z15" s="130" t="str">
        <f>IFERROR(IF(S15="Probabilidad",(K15-(+K15*V15)),IF(S15="Impacto",K15,"")),"")</f>
        <v/>
      </c>
      <c r="AA15" s="131" t="str">
        <f>IFERROR(IF(Z15="","",IF(Z15&lt;=0.2,"Muy Baja",IF(Z15&lt;=0.4,"Baja",IF(Z15&lt;=0.6,"Media",IF(Z15&lt;=0.8,"Alta","Muy Alta"))))),"")</f>
        <v/>
      </c>
      <c r="AB15" s="132" t="str">
        <f>+Z15</f>
        <v/>
      </c>
      <c r="AC15" s="131" t="str">
        <f>IFERROR(IF(AD15="","",IF(AD15&lt;=0.2,"Leve",IF(AD15&lt;=0.4,"Menor",IF(AD15&lt;=0.6,"Moderado",IF(AD15&lt;=0.8,"Mayor","Catastrófico"))))),"")</f>
        <v/>
      </c>
      <c r="AD15" s="140" t="str">
        <f>IFERROR(IF(S15="Impacto",(O15-(+O15*V15)),IF(S15="Probabilidad",O15,"")),"")</f>
        <v/>
      </c>
      <c r="AE15" s="133" t="str">
        <f>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
      </c>
      <c r="AF15" s="134"/>
      <c r="AG15" s="135"/>
      <c r="AH15" s="136"/>
      <c r="AI15" s="137"/>
      <c r="AJ15" s="137"/>
      <c r="AK15" s="135"/>
      <c r="AL15" s="136"/>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row>
    <row r="16" spans="1:70" ht="151.5" customHeight="1" x14ac:dyDescent="0.3">
      <c r="A16" s="266"/>
      <c r="B16" s="225"/>
      <c r="C16" s="225"/>
      <c r="D16" s="142"/>
      <c r="E16" s="225"/>
      <c r="F16" s="269"/>
      <c r="G16" s="269"/>
      <c r="H16" s="225"/>
      <c r="I16" s="228"/>
      <c r="J16" s="231"/>
      <c r="K16" s="234"/>
      <c r="L16" s="237"/>
      <c r="M16" s="234">
        <f ca="1">IF(NOT(ISERROR(MATCH(L16,_xlfn.ANCHORARRAY(G27),0))),K29&amp;"Por favor no seleccionar los criterios de impacto",L16)</f>
        <v>0</v>
      </c>
      <c r="N16" s="231"/>
      <c r="O16" s="234"/>
      <c r="P16" s="222"/>
      <c r="Q16" s="125">
        <v>2</v>
      </c>
      <c r="R16" s="126"/>
      <c r="S16" s="127" t="str">
        <f>IF(OR(T16="Preventivo",T16="Detectivo"),"Probabilidad",IF(T16="Correctivo","Impacto",""))</f>
        <v/>
      </c>
      <c r="T16" s="128"/>
      <c r="U16" s="128"/>
      <c r="V16" s="129" t="str">
        <f t="shared" ref="V16:V20" si="6">IF(AND(T16="Preventivo",U16="Automático"),"50%",IF(AND(T16="Preventivo",U16="Manual"),"40%",IF(AND(T16="Detectivo",U16="Automático"),"40%",IF(AND(T16="Detectivo",U16="Manual"),"30%",IF(AND(T16="Correctivo",U16="Automático"),"35%",IF(AND(T16="Correctivo",U16="Manual"),"25%",""))))))</f>
        <v/>
      </c>
      <c r="W16" s="128"/>
      <c r="X16" s="128"/>
      <c r="Y16" s="128"/>
      <c r="Z16" s="130" t="str">
        <f>IFERROR(IF(AND(S15="Probabilidad",S16="Probabilidad"),(AB15-(+AB15*V16)),IF(S16="Probabilidad",(K15-(+K15*V16)),IF(S16="Impacto",AB15,""))),"")</f>
        <v/>
      </c>
      <c r="AA16" s="131" t="str">
        <f t="shared" si="1"/>
        <v/>
      </c>
      <c r="AB16" s="132" t="str">
        <f t="shared" ref="AB16:AB20" si="7">+Z16</f>
        <v/>
      </c>
      <c r="AC16" s="131" t="str">
        <f t="shared" si="3"/>
        <v/>
      </c>
      <c r="AD16" s="140" t="str">
        <f>IFERROR(IF(AND(S15="Impacto",S16="Impacto"),(AD15-(+AD15*V16)),IF(S16="Impacto",(O15-(+O15*V16)),IF(S16="Probabilidad",AD15,""))),"")</f>
        <v/>
      </c>
      <c r="AE16" s="133" t="str">
        <f t="shared" ref="AE16:AE17" si="8">IFERROR(IF(OR(AND(AA16="Muy Baja",AC16="Leve"),AND(AA16="Muy Baja",AC16="Menor"),AND(AA16="Baja",AC16="Leve")),"Bajo",IF(OR(AND(AA16="Muy baja",AC16="Moderado"),AND(AA16="Baja",AC16="Menor"),AND(AA16="Baja",AC16="Moderado"),AND(AA16="Media",AC16="Leve"),AND(AA16="Media",AC16="Menor"),AND(AA16="Media",AC16="Moderado"),AND(AA16="Alta",AC16="Leve"),AND(AA16="Alta",AC16="Menor")),"Moderado",IF(OR(AND(AA16="Muy Baja",AC16="Mayor"),AND(AA16="Baja",AC16="Mayor"),AND(AA16="Media",AC16="Mayor"),AND(AA16="Alta",AC16="Moderado"),AND(AA16="Alta",AC16="Mayor"),AND(AA16="Muy Alta",AC16="Leve"),AND(AA16="Muy Alta",AC16="Menor"),AND(AA16="Muy Alta",AC16="Moderado"),AND(AA16="Muy Alta",AC16="Mayor")),"Alto",IF(OR(AND(AA16="Muy Baja",AC16="Catastrófico"),AND(AA16="Baja",AC16="Catastrófico"),AND(AA16="Media",AC16="Catastrófico"),AND(AA16="Alta",AC16="Catastrófico"),AND(AA16="Muy Alta",AC16="Catastrófico")),"Extremo","")))),"")</f>
        <v/>
      </c>
      <c r="AF16" s="134"/>
      <c r="AG16" s="135"/>
      <c r="AH16" s="136"/>
      <c r="AI16" s="137"/>
      <c r="AJ16" s="137"/>
      <c r="AK16" s="135"/>
      <c r="AL16" s="136"/>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row>
    <row r="17" spans="1:70" ht="151.5" customHeight="1" x14ac:dyDescent="0.3">
      <c r="A17" s="266"/>
      <c r="B17" s="225"/>
      <c r="C17" s="225"/>
      <c r="D17" s="142"/>
      <c r="E17" s="225"/>
      <c r="F17" s="269"/>
      <c r="G17" s="269"/>
      <c r="H17" s="225"/>
      <c r="I17" s="228"/>
      <c r="J17" s="231"/>
      <c r="K17" s="234"/>
      <c r="L17" s="237"/>
      <c r="M17" s="234">
        <f ca="1">IF(NOT(ISERROR(MATCH(L17,_xlfn.ANCHORARRAY(G28),0))),K30&amp;"Por favor no seleccionar los criterios de impacto",L17)</f>
        <v>0</v>
      </c>
      <c r="N17" s="231"/>
      <c r="O17" s="234"/>
      <c r="P17" s="222"/>
      <c r="Q17" s="125">
        <v>3</v>
      </c>
      <c r="R17" s="138"/>
      <c r="S17" s="127" t="str">
        <f>IF(OR(T17="Preventivo",T17="Detectivo"),"Probabilidad",IF(T17="Correctivo","Impacto",""))</f>
        <v/>
      </c>
      <c r="T17" s="128"/>
      <c r="U17" s="128"/>
      <c r="V17" s="129" t="str">
        <f t="shared" si="6"/>
        <v/>
      </c>
      <c r="W17" s="128"/>
      <c r="X17" s="128"/>
      <c r="Y17" s="128"/>
      <c r="Z17" s="130" t="str">
        <f>IFERROR(IF(AND(S16="Probabilidad",S17="Probabilidad"),(AB16-(+AB16*V17)),IF(AND(S16="Impacto",S17="Probabilidad"),(AB15-(+AB15*V17)),IF(S17="Impacto",AB16,""))),"")</f>
        <v/>
      </c>
      <c r="AA17" s="131" t="str">
        <f t="shared" si="1"/>
        <v/>
      </c>
      <c r="AB17" s="132" t="str">
        <f t="shared" si="7"/>
        <v/>
      </c>
      <c r="AC17" s="131" t="str">
        <f t="shared" si="3"/>
        <v/>
      </c>
      <c r="AD17" s="140" t="str">
        <f>IFERROR(IF(AND(S16="Impacto",S17="Impacto"),(AD16-(+AD16*V17)),IF(AND(S16="Probabilidad",S17="Impacto"),(AD15-(+AD15*V17)),IF(S17="Probabilidad",AD16,""))),"")</f>
        <v/>
      </c>
      <c r="AE17" s="133" t="str">
        <f t="shared" si="8"/>
        <v/>
      </c>
      <c r="AF17" s="134"/>
      <c r="AG17" s="135"/>
      <c r="AH17" s="136"/>
      <c r="AI17" s="137"/>
      <c r="AJ17" s="137"/>
      <c r="AK17" s="135"/>
      <c r="AL17" s="136"/>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row>
    <row r="18" spans="1:70" ht="151.5" customHeight="1" x14ac:dyDescent="0.3">
      <c r="A18" s="266"/>
      <c r="B18" s="225"/>
      <c r="C18" s="225"/>
      <c r="D18" s="142"/>
      <c r="E18" s="225"/>
      <c r="F18" s="269"/>
      <c r="G18" s="269"/>
      <c r="H18" s="225"/>
      <c r="I18" s="228"/>
      <c r="J18" s="231"/>
      <c r="K18" s="234"/>
      <c r="L18" s="237"/>
      <c r="M18" s="234">
        <f ca="1">IF(NOT(ISERROR(MATCH(L18,_xlfn.ANCHORARRAY(G29),0))),K31&amp;"Por favor no seleccionar los criterios de impacto",L18)</f>
        <v>0</v>
      </c>
      <c r="N18" s="231"/>
      <c r="O18" s="234"/>
      <c r="P18" s="222"/>
      <c r="Q18" s="125">
        <v>4</v>
      </c>
      <c r="R18" s="126"/>
      <c r="S18" s="127" t="str">
        <f t="shared" ref="S18:S20" si="9">IF(OR(T18="Preventivo",T18="Detectivo"),"Probabilidad",IF(T18="Correctivo","Impacto",""))</f>
        <v/>
      </c>
      <c r="T18" s="128"/>
      <c r="U18" s="128"/>
      <c r="V18" s="129" t="str">
        <f t="shared" si="6"/>
        <v/>
      </c>
      <c r="W18" s="128"/>
      <c r="X18" s="128"/>
      <c r="Y18" s="128"/>
      <c r="Z18" s="130" t="str">
        <f t="shared" ref="Z18:Z20" si="10">IFERROR(IF(AND(S17="Probabilidad",S18="Probabilidad"),(AB17-(+AB17*V18)),IF(AND(S17="Impacto",S18="Probabilidad"),(AB16-(+AB16*V18)),IF(S18="Impacto",AB17,""))),"")</f>
        <v/>
      </c>
      <c r="AA18" s="131" t="str">
        <f t="shared" si="1"/>
        <v/>
      </c>
      <c r="AB18" s="132" t="str">
        <f t="shared" si="7"/>
        <v/>
      </c>
      <c r="AC18" s="131" t="str">
        <f t="shared" si="3"/>
        <v/>
      </c>
      <c r="AD18" s="140" t="str">
        <f t="shared" ref="AD18:AD20" si="11">IFERROR(IF(AND(S17="Impacto",S18="Impacto"),(AD17-(+AD17*V18)),IF(AND(S17="Probabilidad",S18="Impacto"),(AD16-(+AD16*V18)),IF(S18="Probabilidad",AD17,""))),"")</f>
        <v/>
      </c>
      <c r="AE18" s="133" t="str">
        <f>IFERROR(IF(OR(AND(AA18="Muy Baja",AC18="Leve"),AND(AA18="Muy Baja",AC18="Menor"),AND(AA18="Baja",AC18="Leve")),"Bajo",IF(OR(AND(AA18="Muy baja",AC18="Moderado"),AND(AA18="Baja",AC18="Menor"),AND(AA18="Baja",AC18="Moderado"),AND(AA18="Media",AC18="Leve"),AND(AA18="Media",AC18="Menor"),AND(AA18="Media",AC18="Moderado"),AND(AA18="Alta",AC18="Leve"),AND(AA18="Alta",AC18="Menor")),"Moderado",IF(OR(AND(AA18="Muy Baja",AC18="Mayor"),AND(AA18="Baja",AC18="Mayor"),AND(AA18="Media",AC18="Mayor"),AND(AA18="Alta",AC18="Moderado"),AND(AA18="Alta",AC18="Mayor"),AND(AA18="Muy Alta",AC18="Leve"),AND(AA18="Muy Alta",AC18="Menor"),AND(AA18="Muy Alta",AC18="Moderado"),AND(AA18="Muy Alta",AC18="Mayor")),"Alto",IF(OR(AND(AA18="Muy Baja",AC18="Catastrófico"),AND(AA18="Baja",AC18="Catastrófico"),AND(AA18="Media",AC18="Catastrófico"),AND(AA18="Alta",AC18="Catastrófico"),AND(AA18="Muy Alta",AC18="Catastrófico")),"Extremo","")))),"")</f>
        <v/>
      </c>
      <c r="AF18" s="134"/>
      <c r="AG18" s="135"/>
      <c r="AH18" s="136"/>
      <c r="AI18" s="137"/>
      <c r="AJ18" s="137"/>
      <c r="AK18" s="135"/>
      <c r="AL18" s="136"/>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row>
    <row r="19" spans="1:70" ht="151.5" customHeight="1" x14ac:dyDescent="0.3">
      <c r="A19" s="266"/>
      <c r="B19" s="225"/>
      <c r="C19" s="225"/>
      <c r="D19" s="142"/>
      <c r="E19" s="225"/>
      <c r="F19" s="269"/>
      <c r="G19" s="269"/>
      <c r="H19" s="225"/>
      <c r="I19" s="228"/>
      <c r="J19" s="231"/>
      <c r="K19" s="234"/>
      <c r="L19" s="237"/>
      <c r="M19" s="234">
        <f ca="1">IF(NOT(ISERROR(MATCH(L19,_xlfn.ANCHORARRAY(G30),0))),K32&amp;"Por favor no seleccionar los criterios de impacto",L19)</f>
        <v>0</v>
      </c>
      <c r="N19" s="231"/>
      <c r="O19" s="234"/>
      <c r="P19" s="222"/>
      <c r="Q19" s="125">
        <v>5</v>
      </c>
      <c r="R19" s="126"/>
      <c r="S19" s="127" t="str">
        <f t="shared" si="9"/>
        <v/>
      </c>
      <c r="T19" s="128"/>
      <c r="U19" s="128"/>
      <c r="V19" s="129" t="str">
        <f t="shared" si="6"/>
        <v/>
      </c>
      <c r="W19" s="128"/>
      <c r="X19" s="128"/>
      <c r="Y19" s="128"/>
      <c r="Z19" s="130" t="str">
        <f t="shared" si="10"/>
        <v/>
      </c>
      <c r="AA19" s="131" t="str">
        <f t="shared" si="1"/>
        <v/>
      </c>
      <c r="AB19" s="132" t="str">
        <f t="shared" si="7"/>
        <v/>
      </c>
      <c r="AC19" s="131" t="str">
        <f t="shared" si="3"/>
        <v/>
      </c>
      <c r="AD19" s="140" t="str">
        <f t="shared" si="11"/>
        <v/>
      </c>
      <c r="AE19" s="133" t="str">
        <f t="shared" ref="AE19:AE20" si="12">IFERROR(IF(OR(AND(AA19="Muy Baja",AC19="Leve"),AND(AA19="Muy Baja",AC19="Menor"),AND(AA19="Baja",AC19="Leve")),"Bajo",IF(OR(AND(AA19="Muy baja",AC19="Moderado"),AND(AA19="Baja",AC19="Menor"),AND(AA19="Baja",AC19="Moderado"),AND(AA19="Media",AC19="Leve"),AND(AA19="Media",AC19="Menor"),AND(AA19="Media",AC19="Moderado"),AND(AA19="Alta",AC19="Leve"),AND(AA19="Alta",AC19="Menor")),"Moderado",IF(OR(AND(AA19="Muy Baja",AC19="Mayor"),AND(AA19="Baja",AC19="Mayor"),AND(AA19="Media",AC19="Mayor"),AND(AA19="Alta",AC19="Moderado"),AND(AA19="Alta",AC19="Mayor"),AND(AA19="Muy Alta",AC19="Leve"),AND(AA19="Muy Alta",AC19="Menor"),AND(AA19="Muy Alta",AC19="Moderado"),AND(AA19="Muy Alta",AC19="Mayor")),"Alto",IF(OR(AND(AA19="Muy Baja",AC19="Catastrófico"),AND(AA19="Baja",AC19="Catastrófico"),AND(AA19="Media",AC19="Catastrófico"),AND(AA19="Alta",AC19="Catastrófico"),AND(AA19="Muy Alta",AC19="Catastrófico")),"Extremo","")))),"")</f>
        <v/>
      </c>
      <c r="AF19" s="134"/>
      <c r="AG19" s="135"/>
      <c r="AH19" s="136"/>
      <c r="AI19" s="137"/>
      <c r="AJ19" s="137"/>
      <c r="AK19" s="135"/>
      <c r="AL19" s="136"/>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row>
    <row r="20" spans="1:70" ht="151.5" customHeight="1" x14ac:dyDescent="0.3">
      <c r="A20" s="267"/>
      <c r="B20" s="226"/>
      <c r="C20" s="226"/>
      <c r="D20" s="143"/>
      <c r="E20" s="226"/>
      <c r="F20" s="270"/>
      <c r="G20" s="270"/>
      <c r="H20" s="226"/>
      <c r="I20" s="229"/>
      <c r="J20" s="232"/>
      <c r="K20" s="235"/>
      <c r="L20" s="238"/>
      <c r="M20" s="235">
        <f ca="1">IF(NOT(ISERROR(MATCH(L20,_xlfn.ANCHORARRAY(G31),0))),K33&amp;"Por favor no seleccionar los criterios de impacto",L20)</f>
        <v>0</v>
      </c>
      <c r="N20" s="232"/>
      <c r="O20" s="235"/>
      <c r="P20" s="223"/>
      <c r="Q20" s="125">
        <v>6</v>
      </c>
      <c r="R20" s="126"/>
      <c r="S20" s="127" t="str">
        <f t="shared" si="9"/>
        <v/>
      </c>
      <c r="T20" s="128"/>
      <c r="U20" s="128"/>
      <c r="V20" s="129" t="str">
        <f t="shared" si="6"/>
        <v/>
      </c>
      <c r="W20" s="128"/>
      <c r="X20" s="128"/>
      <c r="Y20" s="128"/>
      <c r="Z20" s="130" t="str">
        <f t="shared" si="10"/>
        <v/>
      </c>
      <c r="AA20" s="131" t="str">
        <f t="shared" si="1"/>
        <v/>
      </c>
      <c r="AB20" s="132" t="str">
        <f t="shared" si="7"/>
        <v/>
      </c>
      <c r="AC20" s="131" t="str">
        <f t="shared" si="3"/>
        <v/>
      </c>
      <c r="AD20" s="140" t="str">
        <f t="shared" si="11"/>
        <v/>
      </c>
      <c r="AE20" s="133" t="str">
        <f t="shared" si="12"/>
        <v/>
      </c>
      <c r="AF20" s="134"/>
      <c r="AG20" s="135"/>
      <c r="AH20" s="136"/>
      <c r="AI20" s="137"/>
      <c r="AJ20" s="137"/>
      <c r="AK20" s="135"/>
      <c r="AL20" s="136"/>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row>
    <row r="21" spans="1:70" ht="151.5" customHeight="1" x14ac:dyDescent="0.3">
      <c r="A21" s="265">
        <v>3</v>
      </c>
      <c r="B21" s="224"/>
      <c r="C21" s="224"/>
      <c r="D21" s="141"/>
      <c r="E21" s="224"/>
      <c r="F21" s="268"/>
      <c r="G21" s="268"/>
      <c r="H21" s="224"/>
      <c r="I21" s="227"/>
      <c r="J21" s="230" t="str">
        <f>IF(I21&lt;=0,"",IF(I21&lt;=2,"Muy Baja",IF(I21&lt;=24,"Baja",IF(I21&lt;=500,"Media",IF(I21&lt;=5000,"Alta","Muy Alta")))))</f>
        <v/>
      </c>
      <c r="K21" s="233" t="str">
        <f>IF(J21="","",IF(J21="Muy Baja",0.2,IF(J21="Baja",0.4,IF(J21="Media",0.6,IF(J21="Alta",0.8,IF(J21="Muy Alta",1,))))))</f>
        <v/>
      </c>
      <c r="L21" s="236"/>
      <c r="M21" s="233">
        <f ca="1">IF(NOT(ISERROR(MATCH(L21,'Tabla Impacto'!$B$221:$B$223,0))),'Tabla Impacto'!$F$223&amp;"Por favor no seleccionar los criterios de impacto(Afectación Económica o presupuestal y Pérdida Reputacional)",L21)</f>
        <v>0</v>
      </c>
      <c r="N21" s="230" t="str">
        <f ca="1">IF(OR(M21='Tabla Impacto'!$C$11,M21='Tabla Impacto'!$D$11),"Leve",IF(OR(M21='Tabla Impacto'!$C$12,M21='Tabla Impacto'!$D$12),"Menor",IF(OR(M21='Tabla Impacto'!$C$13,M21='Tabla Impacto'!$D$13),"Moderado",IF(OR(M21='Tabla Impacto'!$C$14,M21='Tabla Impacto'!$D$14),"Mayor",IF(OR(M21='Tabla Impacto'!$C$15,M21='Tabla Impacto'!$D$15),"Catastrófico","")))))</f>
        <v/>
      </c>
      <c r="O21" s="233" t="str">
        <f ca="1">IF(N21="","",IF(N21="Leve",0.2,IF(N21="Menor",0.4,IF(N21="Moderado",0.6,IF(N21="Mayor",0.8,IF(N21="Catastrófico",1,))))))</f>
        <v/>
      </c>
      <c r="P21" s="221" t="str">
        <f ca="1">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
      </c>
      <c r="Q21" s="125">
        <v>1</v>
      </c>
      <c r="R21" s="126"/>
      <c r="S21" s="127" t="str">
        <f>IF(OR(T21="Preventivo",T21="Detectivo"),"Probabilidad",IF(T21="Correctivo","Impacto",""))</f>
        <v/>
      </c>
      <c r="T21" s="128"/>
      <c r="U21" s="128"/>
      <c r="V21" s="129" t="str">
        <f>IF(AND(T21="Preventivo",U21="Automático"),"50%",IF(AND(T21="Preventivo",U21="Manual"),"40%",IF(AND(T21="Detectivo",U21="Automático"),"40%",IF(AND(T21="Detectivo",U21="Manual"),"30%",IF(AND(T21="Correctivo",U21="Automático"),"35%",IF(AND(T21="Correctivo",U21="Manual"),"25%",""))))))</f>
        <v/>
      </c>
      <c r="W21" s="128"/>
      <c r="X21" s="128"/>
      <c r="Y21" s="128"/>
      <c r="Z21" s="130" t="str">
        <f>IFERROR(IF(S21="Probabilidad",(K21-(+K21*V21)),IF(S21="Impacto",K21,"")),"")</f>
        <v/>
      </c>
      <c r="AA21" s="131" t="str">
        <f>IFERROR(IF(Z21="","",IF(Z21&lt;=0.2,"Muy Baja",IF(Z21&lt;=0.4,"Baja",IF(Z21&lt;=0.6,"Media",IF(Z21&lt;=0.8,"Alta","Muy Alta"))))),"")</f>
        <v/>
      </c>
      <c r="AB21" s="132" t="str">
        <f>+Z21</f>
        <v/>
      </c>
      <c r="AC21" s="131" t="str">
        <f>IFERROR(IF(AD21="","",IF(AD21&lt;=0.2,"Leve",IF(AD21&lt;=0.4,"Menor",IF(AD21&lt;=0.6,"Moderado",IF(AD21&lt;=0.8,"Mayor","Catastrófico"))))),"")</f>
        <v/>
      </c>
      <c r="AD21" s="140" t="str">
        <f>IFERROR(IF(S21="Impacto",(O21-(+O21*V21)),IF(S21="Probabilidad",O21,"")),"")</f>
        <v/>
      </c>
      <c r="AE21" s="133" t="str">
        <f>IFERROR(IF(OR(AND(AA21="Muy Baja",AC21="Leve"),AND(AA21="Muy Baja",AC21="Menor"),AND(AA21="Baja",AC21="Leve")),"Bajo",IF(OR(AND(AA21="Muy baja",AC21="Moderado"),AND(AA21="Baja",AC21="Menor"),AND(AA21="Baja",AC21="Moderado"),AND(AA21="Media",AC21="Leve"),AND(AA21="Media",AC21="Menor"),AND(AA21="Media",AC21="Moderado"),AND(AA21="Alta",AC21="Leve"),AND(AA21="Alta",AC21="Menor")),"Moderado",IF(OR(AND(AA21="Muy Baja",AC21="Mayor"),AND(AA21="Baja",AC21="Mayor"),AND(AA21="Media",AC21="Mayor"),AND(AA21="Alta",AC21="Moderado"),AND(AA21="Alta",AC21="Mayor"),AND(AA21="Muy Alta",AC21="Leve"),AND(AA21="Muy Alta",AC21="Menor"),AND(AA21="Muy Alta",AC21="Moderado"),AND(AA21="Muy Alta",AC21="Mayor")),"Alto",IF(OR(AND(AA21="Muy Baja",AC21="Catastrófico"),AND(AA21="Baja",AC21="Catastrófico"),AND(AA21="Media",AC21="Catastrófico"),AND(AA21="Alta",AC21="Catastrófico"),AND(AA21="Muy Alta",AC21="Catastrófico")),"Extremo","")))),"")</f>
        <v/>
      </c>
      <c r="AF21" s="134"/>
      <c r="AG21" s="135"/>
      <c r="AH21" s="136"/>
      <c r="AI21" s="137"/>
      <c r="AJ21" s="137"/>
      <c r="AK21" s="135"/>
      <c r="AL21" s="136"/>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row>
    <row r="22" spans="1:70" ht="151.5" customHeight="1" x14ac:dyDescent="0.3">
      <c r="A22" s="266"/>
      <c r="B22" s="225"/>
      <c r="C22" s="225"/>
      <c r="D22" s="142"/>
      <c r="E22" s="225"/>
      <c r="F22" s="269"/>
      <c r="G22" s="269"/>
      <c r="H22" s="225"/>
      <c r="I22" s="228"/>
      <c r="J22" s="231"/>
      <c r="K22" s="234"/>
      <c r="L22" s="237"/>
      <c r="M22" s="234">
        <f ca="1">IF(NOT(ISERROR(MATCH(L22,_xlfn.ANCHORARRAY(G33),0))),K35&amp;"Por favor no seleccionar los criterios de impacto",L22)</f>
        <v>0</v>
      </c>
      <c r="N22" s="231"/>
      <c r="O22" s="234"/>
      <c r="P22" s="222"/>
      <c r="Q22" s="125">
        <v>2</v>
      </c>
      <c r="R22" s="126"/>
      <c r="S22" s="127" t="str">
        <f>IF(OR(T22="Preventivo",T22="Detectivo"),"Probabilidad",IF(T22="Correctivo","Impacto",""))</f>
        <v/>
      </c>
      <c r="T22" s="128"/>
      <c r="U22" s="128"/>
      <c r="V22" s="129" t="str">
        <f t="shared" ref="V22:V26" si="13">IF(AND(T22="Preventivo",U22="Automático"),"50%",IF(AND(T22="Preventivo",U22="Manual"),"40%",IF(AND(T22="Detectivo",U22="Automático"),"40%",IF(AND(T22="Detectivo",U22="Manual"),"30%",IF(AND(T22="Correctivo",U22="Automático"),"35%",IF(AND(T22="Correctivo",U22="Manual"),"25%",""))))))</f>
        <v/>
      </c>
      <c r="W22" s="128"/>
      <c r="X22" s="128"/>
      <c r="Y22" s="128"/>
      <c r="Z22" s="139" t="str">
        <f>IFERROR(IF(AND(S21="Probabilidad",S22="Probabilidad"),(AB21-(+AB21*V22)),IF(S22="Probabilidad",(K21-(+K21*V22)),IF(S22="Impacto",AB21,""))),"")</f>
        <v/>
      </c>
      <c r="AA22" s="131" t="str">
        <f t="shared" si="1"/>
        <v/>
      </c>
      <c r="AB22" s="132" t="str">
        <f t="shared" ref="AB22:AB26" si="14">+Z22</f>
        <v/>
      </c>
      <c r="AC22" s="131" t="str">
        <f t="shared" si="3"/>
        <v/>
      </c>
      <c r="AD22" s="140" t="str">
        <f>IFERROR(IF(AND(S21="Impacto",S22="Impacto"),(AD21-(+AD21*V22)),IF(S22="Impacto",(O21-(+O21*V22)),IF(S22="Probabilidad",AD21,""))),"")</f>
        <v/>
      </c>
      <c r="AE22" s="133" t="str">
        <f t="shared" ref="AE22:AE23" si="15">IFERROR(IF(OR(AND(AA22="Muy Baja",AC22="Leve"),AND(AA22="Muy Baja",AC22="Menor"),AND(AA22="Baja",AC22="Leve")),"Bajo",IF(OR(AND(AA22="Muy baja",AC22="Moderado"),AND(AA22="Baja",AC22="Menor"),AND(AA22="Baja",AC22="Moderado"),AND(AA22="Media",AC22="Leve"),AND(AA22="Media",AC22="Menor"),AND(AA22="Media",AC22="Moderado"),AND(AA22="Alta",AC22="Leve"),AND(AA22="Alta",AC22="Menor")),"Moderado",IF(OR(AND(AA22="Muy Baja",AC22="Mayor"),AND(AA22="Baja",AC22="Mayor"),AND(AA22="Media",AC22="Mayor"),AND(AA22="Alta",AC22="Moderado"),AND(AA22="Alta",AC22="Mayor"),AND(AA22="Muy Alta",AC22="Leve"),AND(AA22="Muy Alta",AC22="Menor"),AND(AA22="Muy Alta",AC22="Moderado"),AND(AA22="Muy Alta",AC22="Mayor")),"Alto",IF(OR(AND(AA22="Muy Baja",AC22="Catastrófico"),AND(AA22="Baja",AC22="Catastrófico"),AND(AA22="Media",AC22="Catastrófico"),AND(AA22="Alta",AC22="Catastrófico"),AND(AA22="Muy Alta",AC22="Catastrófico")),"Extremo","")))),"")</f>
        <v/>
      </c>
      <c r="AF22" s="134"/>
      <c r="AG22" s="135"/>
      <c r="AH22" s="136"/>
      <c r="AI22" s="137"/>
      <c r="AJ22" s="137"/>
      <c r="AK22" s="135"/>
      <c r="AL22" s="136"/>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row>
    <row r="23" spans="1:70" ht="151.5" customHeight="1" x14ac:dyDescent="0.3">
      <c r="A23" s="266"/>
      <c r="B23" s="225"/>
      <c r="C23" s="225"/>
      <c r="D23" s="142"/>
      <c r="E23" s="225"/>
      <c r="F23" s="269"/>
      <c r="G23" s="269"/>
      <c r="H23" s="225"/>
      <c r="I23" s="228"/>
      <c r="J23" s="231"/>
      <c r="K23" s="234"/>
      <c r="L23" s="237"/>
      <c r="M23" s="234">
        <f ca="1">IF(NOT(ISERROR(MATCH(L23,_xlfn.ANCHORARRAY(G34),0))),K36&amp;"Por favor no seleccionar los criterios de impacto",L23)</f>
        <v>0</v>
      </c>
      <c r="N23" s="231"/>
      <c r="O23" s="234"/>
      <c r="P23" s="222"/>
      <c r="Q23" s="125">
        <v>3</v>
      </c>
      <c r="R23" s="138"/>
      <c r="S23" s="127" t="str">
        <f>IF(OR(T23="Preventivo",T23="Detectivo"),"Probabilidad",IF(T23="Correctivo","Impacto",""))</f>
        <v/>
      </c>
      <c r="T23" s="128"/>
      <c r="U23" s="128"/>
      <c r="V23" s="129" t="str">
        <f t="shared" si="13"/>
        <v/>
      </c>
      <c r="W23" s="128"/>
      <c r="X23" s="128"/>
      <c r="Y23" s="128"/>
      <c r="Z23" s="130" t="str">
        <f>IFERROR(IF(AND(S22="Probabilidad",S23="Probabilidad"),(AB22-(+AB22*V23)),IF(AND(S22="Impacto",S23="Probabilidad"),(AB21-(+AB21*V23)),IF(S23="Impacto",AB22,""))),"")</f>
        <v/>
      </c>
      <c r="AA23" s="131" t="str">
        <f t="shared" si="1"/>
        <v/>
      </c>
      <c r="AB23" s="132" t="str">
        <f t="shared" si="14"/>
        <v/>
      </c>
      <c r="AC23" s="131" t="str">
        <f t="shared" si="3"/>
        <v/>
      </c>
      <c r="AD23" s="140" t="str">
        <f>IFERROR(IF(AND(S22="Impacto",S23="Impacto"),(AD22-(+AD22*V23)),IF(AND(S22="Probabilidad",S23="Impacto"),(AD21-(+AD21*V23)),IF(S23="Probabilidad",AD22,""))),"")</f>
        <v/>
      </c>
      <c r="AE23" s="133" t="str">
        <f t="shared" si="15"/>
        <v/>
      </c>
      <c r="AF23" s="134"/>
      <c r="AG23" s="135"/>
      <c r="AH23" s="136"/>
      <c r="AI23" s="137"/>
      <c r="AJ23" s="137"/>
      <c r="AK23" s="135"/>
      <c r="AL23" s="136"/>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row>
    <row r="24" spans="1:70" ht="151.5" customHeight="1" x14ac:dyDescent="0.3">
      <c r="A24" s="266"/>
      <c r="B24" s="225"/>
      <c r="C24" s="225"/>
      <c r="D24" s="142"/>
      <c r="E24" s="225"/>
      <c r="F24" s="269"/>
      <c r="G24" s="269"/>
      <c r="H24" s="225"/>
      <c r="I24" s="228"/>
      <c r="J24" s="231"/>
      <c r="K24" s="234"/>
      <c r="L24" s="237"/>
      <c r="M24" s="234">
        <f ca="1">IF(NOT(ISERROR(MATCH(L24,_xlfn.ANCHORARRAY(G35),0))),K37&amp;"Por favor no seleccionar los criterios de impacto",L24)</f>
        <v>0</v>
      </c>
      <c r="N24" s="231"/>
      <c r="O24" s="234"/>
      <c r="P24" s="222"/>
      <c r="Q24" s="125">
        <v>4</v>
      </c>
      <c r="R24" s="126"/>
      <c r="S24" s="127" t="str">
        <f t="shared" ref="S24:S26" si="16">IF(OR(T24="Preventivo",T24="Detectivo"),"Probabilidad",IF(T24="Correctivo","Impacto",""))</f>
        <v/>
      </c>
      <c r="T24" s="128"/>
      <c r="U24" s="128"/>
      <c r="V24" s="129" t="str">
        <f t="shared" si="13"/>
        <v/>
      </c>
      <c r="W24" s="128"/>
      <c r="X24" s="128"/>
      <c r="Y24" s="128"/>
      <c r="Z24" s="130" t="str">
        <f t="shared" ref="Z24:Z26" si="17">IFERROR(IF(AND(S23="Probabilidad",S24="Probabilidad"),(AB23-(+AB23*V24)),IF(AND(S23="Impacto",S24="Probabilidad"),(AB22-(+AB22*V24)),IF(S24="Impacto",AB23,""))),"")</f>
        <v/>
      </c>
      <c r="AA24" s="131" t="str">
        <f t="shared" si="1"/>
        <v/>
      </c>
      <c r="AB24" s="132" t="str">
        <f t="shared" si="14"/>
        <v/>
      </c>
      <c r="AC24" s="131" t="str">
        <f t="shared" si="3"/>
        <v/>
      </c>
      <c r="AD24" s="140" t="str">
        <f t="shared" ref="AD24:AD26" si="18">IFERROR(IF(AND(S23="Impacto",S24="Impacto"),(AD23-(+AD23*V24)),IF(AND(S23="Probabilidad",S24="Impacto"),(AD22-(+AD22*V24)),IF(S24="Probabilidad",AD23,""))),"")</f>
        <v/>
      </c>
      <c r="AE24" s="133" t="str">
        <f>IFERROR(IF(OR(AND(AA24="Muy Baja",AC24="Leve"),AND(AA24="Muy Baja",AC24="Menor"),AND(AA24="Baja",AC24="Leve")),"Bajo",IF(OR(AND(AA24="Muy baja",AC24="Moderado"),AND(AA24="Baja",AC24="Menor"),AND(AA24="Baja",AC24="Moderado"),AND(AA24="Media",AC24="Leve"),AND(AA24="Media",AC24="Menor"),AND(AA24="Media",AC24="Moderado"),AND(AA24="Alta",AC24="Leve"),AND(AA24="Alta",AC24="Menor")),"Moderado",IF(OR(AND(AA24="Muy Baja",AC24="Mayor"),AND(AA24="Baja",AC24="Mayor"),AND(AA24="Media",AC24="Mayor"),AND(AA24="Alta",AC24="Moderado"),AND(AA24="Alta",AC24="Mayor"),AND(AA24="Muy Alta",AC24="Leve"),AND(AA24="Muy Alta",AC24="Menor"),AND(AA24="Muy Alta",AC24="Moderado"),AND(AA24="Muy Alta",AC24="Mayor")),"Alto",IF(OR(AND(AA24="Muy Baja",AC24="Catastrófico"),AND(AA24="Baja",AC24="Catastrófico"),AND(AA24="Media",AC24="Catastrófico"),AND(AA24="Alta",AC24="Catastrófico"),AND(AA24="Muy Alta",AC24="Catastrófico")),"Extremo","")))),"")</f>
        <v/>
      </c>
      <c r="AF24" s="134"/>
      <c r="AG24" s="135"/>
      <c r="AH24" s="136"/>
      <c r="AI24" s="137"/>
      <c r="AJ24" s="137"/>
      <c r="AK24" s="135"/>
      <c r="AL24" s="136"/>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row>
    <row r="25" spans="1:70" ht="151.5" customHeight="1" x14ac:dyDescent="0.3">
      <c r="A25" s="266"/>
      <c r="B25" s="225"/>
      <c r="C25" s="225"/>
      <c r="D25" s="142"/>
      <c r="E25" s="225"/>
      <c r="F25" s="269"/>
      <c r="G25" s="269"/>
      <c r="H25" s="225"/>
      <c r="I25" s="228"/>
      <c r="J25" s="231"/>
      <c r="K25" s="234"/>
      <c r="L25" s="237"/>
      <c r="M25" s="234">
        <f ca="1">IF(NOT(ISERROR(MATCH(L25,_xlfn.ANCHORARRAY(G36),0))),K38&amp;"Por favor no seleccionar los criterios de impacto",L25)</f>
        <v>0</v>
      </c>
      <c r="N25" s="231"/>
      <c r="O25" s="234"/>
      <c r="P25" s="222"/>
      <c r="Q25" s="125">
        <v>5</v>
      </c>
      <c r="R25" s="126"/>
      <c r="S25" s="127" t="str">
        <f t="shared" si="16"/>
        <v/>
      </c>
      <c r="T25" s="128"/>
      <c r="U25" s="128"/>
      <c r="V25" s="129" t="str">
        <f t="shared" si="13"/>
        <v/>
      </c>
      <c r="W25" s="128"/>
      <c r="X25" s="128"/>
      <c r="Y25" s="128"/>
      <c r="Z25" s="130" t="str">
        <f t="shared" si="17"/>
        <v/>
      </c>
      <c r="AA25" s="131" t="str">
        <f t="shared" si="1"/>
        <v/>
      </c>
      <c r="AB25" s="132" t="str">
        <f t="shared" si="14"/>
        <v/>
      </c>
      <c r="AC25" s="131" t="str">
        <f t="shared" si="3"/>
        <v/>
      </c>
      <c r="AD25" s="140" t="str">
        <f t="shared" si="18"/>
        <v/>
      </c>
      <c r="AE25" s="133" t="str">
        <f t="shared" ref="AE25:AE26" si="19">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
      </c>
      <c r="AF25" s="134"/>
      <c r="AG25" s="135"/>
      <c r="AH25" s="136"/>
      <c r="AI25" s="137"/>
      <c r="AJ25" s="137"/>
      <c r="AK25" s="135"/>
      <c r="AL25" s="136"/>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row>
    <row r="26" spans="1:70" ht="151.5" customHeight="1" x14ac:dyDescent="0.3">
      <c r="A26" s="267"/>
      <c r="B26" s="226"/>
      <c r="C26" s="226"/>
      <c r="D26" s="143"/>
      <c r="E26" s="226"/>
      <c r="F26" s="270"/>
      <c r="G26" s="270"/>
      <c r="H26" s="226"/>
      <c r="I26" s="229"/>
      <c r="J26" s="232"/>
      <c r="K26" s="235"/>
      <c r="L26" s="238"/>
      <c r="M26" s="235">
        <f ca="1">IF(NOT(ISERROR(MATCH(L26,_xlfn.ANCHORARRAY(G37),0))),K39&amp;"Por favor no seleccionar los criterios de impacto",L26)</f>
        <v>0</v>
      </c>
      <c r="N26" s="232"/>
      <c r="O26" s="235"/>
      <c r="P26" s="223"/>
      <c r="Q26" s="125">
        <v>6</v>
      </c>
      <c r="R26" s="126"/>
      <c r="S26" s="127" t="str">
        <f t="shared" si="16"/>
        <v/>
      </c>
      <c r="T26" s="128"/>
      <c r="U26" s="128"/>
      <c r="V26" s="129" t="str">
        <f t="shared" si="13"/>
        <v/>
      </c>
      <c r="W26" s="128"/>
      <c r="X26" s="128"/>
      <c r="Y26" s="128"/>
      <c r="Z26" s="130" t="str">
        <f t="shared" si="17"/>
        <v/>
      </c>
      <c r="AA26" s="131" t="str">
        <f t="shared" si="1"/>
        <v/>
      </c>
      <c r="AB26" s="132" t="str">
        <f t="shared" si="14"/>
        <v/>
      </c>
      <c r="AC26" s="131" t="str">
        <f t="shared" si="3"/>
        <v/>
      </c>
      <c r="AD26" s="140" t="str">
        <f t="shared" si="18"/>
        <v/>
      </c>
      <c r="AE26" s="133" t="str">
        <f t="shared" si="19"/>
        <v/>
      </c>
      <c r="AF26" s="134"/>
      <c r="AG26" s="135"/>
      <c r="AH26" s="136"/>
      <c r="AI26" s="137"/>
      <c r="AJ26" s="137"/>
      <c r="AK26" s="135"/>
      <c r="AL26" s="136"/>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row>
    <row r="27" spans="1:70" ht="151.5" customHeight="1" x14ac:dyDescent="0.3">
      <c r="A27" s="265">
        <v>4</v>
      </c>
      <c r="B27" s="224"/>
      <c r="C27" s="224"/>
      <c r="D27" s="141"/>
      <c r="E27" s="224"/>
      <c r="F27" s="268"/>
      <c r="G27" s="268"/>
      <c r="H27" s="224"/>
      <c r="I27" s="227"/>
      <c r="J27" s="230" t="str">
        <f>IF(I27&lt;=0,"",IF(I27&lt;=2,"Muy Baja",IF(I27&lt;=24,"Baja",IF(I27&lt;=500,"Media",IF(I27&lt;=5000,"Alta","Muy Alta")))))</f>
        <v/>
      </c>
      <c r="K27" s="233" t="str">
        <f>IF(J27="","",IF(J27="Muy Baja",0.2,IF(J27="Baja",0.4,IF(J27="Media",0.6,IF(J27="Alta",0.8,IF(J27="Muy Alta",1,))))))</f>
        <v/>
      </c>
      <c r="L27" s="236"/>
      <c r="M27" s="233">
        <f ca="1">IF(NOT(ISERROR(MATCH(L27,'Tabla Impacto'!$B$221:$B$223,0))),'Tabla Impacto'!$F$223&amp;"Por favor no seleccionar los criterios de impacto(Afectación Económica o presupuestal y Pérdida Reputacional)",L27)</f>
        <v>0</v>
      </c>
      <c r="N27" s="230" t="str">
        <f ca="1">IF(OR(M27='Tabla Impacto'!$C$11,M27='Tabla Impacto'!$D$11),"Leve",IF(OR(M27='Tabla Impacto'!$C$12,M27='Tabla Impacto'!$D$12),"Menor",IF(OR(M27='Tabla Impacto'!$C$13,M27='Tabla Impacto'!$D$13),"Moderado",IF(OR(M27='Tabla Impacto'!$C$14,M27='Tabla Impacto'!$D$14),"Mayor",IF(OR(M27='Tabla Impacto'!$C$15,M27='Tabla Impacto'!$D$15),"Catastrófico","")))))</f>
        <v/>
      </c>
      <c r="O27" s="233" t="str">
        <f ca="1">IF(N27="","",IF(N27="Leve",0.2,IF(N27="Menor",0.4,IF(N27="Moderado",0.6,IF(N27="Mayor",0.8,IF(N27="Catastrófico",1,))))))</f>
        <v/>
      </c>
      <c r="P27" s="221" t="str">
        <f ca="1">IF(OR(AND(J27="Muy Baja",N27="Leve"),AND(J27="Muy Baja",N27="Menor"),AND(J27="Baja",N27="Leve")),"Bajo",IF(OR(AND(J27="Muy baja",N27="Moderado"),AND(J27="Baja",N27="Menor"),AND(J27="Baja",N27="Moderado"),AND(J27="Media",N27="Leve"),AND(J27="Media",N27="Menor"),AND(J27="Media",N27="Moderado"),AND(J27="Alta",N27="Leve"),AND(J27="Alta",N27="Menor")),"Moderado",IF(OR(AND(J27="Muy Baja",N27="Mayor"),AND(J27="Baja",N27="Mayor"),AND(J27="Media",N27="Mayor"),AND(J27="Alta",N27="Moderado"),AND(J27="Alta",N27="Mayor"),AND(J27="Muy Alta",N27="Leve"),AND(J27="Muy Alta",N27="Menor"),AND(J27="Muy Alta",N27="Moderado"),AND(J27="Muy Alta",N27="Mayor")),"Alto",IF(OR(AND(J27="Muy Baja",N27="Catastrófico"),AND(J27="Baja",N27="Catastrófico"),AND(J27="Media",N27="Catastrófico"),AND(J27="Alta",N27="Catastrófico"),AND(J27="Muy Alta",N27="Catastrófico")),"Extremo",""))))</f>
        <v/>
      </c>
      <c r="Q27" s="125">
        <v>1</v>
      </c>
      <c r="R27" s="126"/>
      <c r="S27" s="127" t="str">
        <f>IF(OR(T27="Preventivo",T27="Detectivo"),"Probabilidad",IF(T27="Correctivo","Impacto",""))</f>
        <v/>
      </c>
      <c r="T27" s="128"/>
      <c r="U27" s="128"/>
      <c r="V27" s="129" t="str">
        <f>IF(AND(T27="Preventivo",U27="Automático"),"50%",IF(AND(T27="Preventivo",U27="Manual"),"40%",IF(AND(T27="Detectivo",U27="Automático"),"40%",IF(AND(T27="Detectivo",U27="Manual"),"30%",IF(AND(T27="Correctivo",U27="Automático"),"35%",IF(AND(T27="Correctivo",U27="Manual"),"25%",""))))))</f>
        <v/>
      </c>
      <c r="W27" s="128"/>
      <c r="X27" s="128"/>
      <c r="Y27" s="128"/>
      <c r="Z27" s="130" t="str">
        <f>IFERROR(IF(S27="Probabilidad",(K27-(+K27*V27)),IF(S27="Impacto",K27,"")),"")</f>
        <v/>
      </c>
      <c r="AA27" s="131" t="str">
        <f>IFERROR(IF(Z27="","",IF(Z27&lt;=0.2,"Muy Baja",IF(Z27&lt;=0.4,"Baja",IF(Z27&lt;=0.6,"Media",IF(Z27&lt;=0.8,"Alta","Muy Alta"))))),"")</f>
        <v/>
      </c>
      <c r="AB27" s="132" t="str">
        <f>+Z27</f>
        <v/>
      </c>
      <c r="AC27" s="131" t="str">
        <f>IFERROR(IF(AD27="","",IF(AD27&lt;=0.2,"Leve",IF(AD27&lt;=0.4,"Menor",IF(AD27&lt;=0.6,"Moderado",IF(AD27&lt;=0.8,"Mayor","Catastrófico"))))),"")</f>
        <v/>
      </c>
      <c r="AD27" s="140" t="str">
        <f>IFERROR(IF(S27="Impacto",(O27-(+O27*V27)),IF(S27="Probabilidad",O27,"")),"")</f>
        <v/>
      </c>
      <c r="AE27" s="133" t="str">
        <f>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
      </c>
      <c r="AF27" s="134"/>
      <c r="AG27" s="135"/>
      <c r="AH27" s="136"/>
      <c r="AI27" s="137"/>
      <c r="AJ27" s="137"/>
      <c r="AK27" s="135"/>
      <c r="AL27" s="136"/>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row>
    <row r="28" spans="1:70" ht="151.5" customHeight="1" x14ac:dyDescent="0.3">
      <c r="A28" s="266"/>
      <c r="B28" s="225"/>
      <c r="C28" s="225"/>
      <c r="D28" s="142"/>
      <c r="E28" s="225"/>
      <c r="F28" s="269"/>
      <c r="G28" s="269"/>
      <c r="H28" s="225"/>
      <c r="I28" s="228"/>
      <c r="J28" s="231"/>
      <c r="K28" s="234"/>
      <c r="L28" s="237"/>
      <c r="M28" s="234">
        <f ca="1">IF(NOT(ISERROR(MATCH(L28,_xlfn.ANCHORARRAY(G39),0))),K41&amp;"Por favor no seleccionar los criterios de impacto",L28)</f>
        <v>0</v>
      </c>
      <c r="N28" s="231"/>
      <c r="O28" s="234"/>
      <c r="P28" s="222"/>
      <c r="Q28" s="125">
        <v>2</v>
      </c>
      <c r="R28" s="126"/>
      <c r="S28" s="127" t="str">
        <f>IF(OR(T28="Preventivo",T28="Detectivo"),"Probabilidad",IF(T28="Correctivo","Impacto",""))</f>
        <v/>
      </c>
      <c r="T28" s="128"/>
      <c r="U28" s="128"/>
      <c r="V28" s="129" t="str">
        <f t="shared" ref="V28:V32" si="20">IF(AND(T28="Preventivo",U28="Automático"),"50%",IF(AND(T28="Preventivo",U28="Manual"),"40%",IF(AND(T28="Detectivo",U28="Automático"),"40%",IF(AND(T28="Detectivo",U28="Manual"),"30%",IF(AND(T28="Correctivo",U28="Automático"),"35%",IF(AND(T28="Correctivo",U28="Manual"),"25%",""))))))</f>
        <v/>
      </c>
      <c r="W28" s="128"/>
      <c r="X28" s="128"/>
      <c r="Y28" s="128"/>
      <c r="Z28" s="130" t="str">
        <f>IFERROR(IF(AND(S27="Probabilidad",S28="Probabilidad"),(AB27-(+AB27*V28)),IF(S28="Probabilidad",(K27-(+K27*V28)),IF(S28="Impacto",AB27,""))),"")</f>
        <v/>
      </c>
      <c r="AA28" s="131" t="str">
        <f t="shared" si="1"/>
        <v/>
      </c>
      <c r="AB28" s="132" t="str">
        <f t="shared" ref="AB28:AB32" si="21">+Z28</f>
        <v/>
      </c>
      <c r="AC28" s="131" t="str">
        <f t="shared" si="3"/>
        <v/>
      </c>
      <c r="AD28" s="140" t="str">
        <f>IFERROR(IF(AND(S27="Impacto",S28="Impacto"),(AD27-(+AD27*V28)),IF(S28="Impacto",(O27-(+O27*V28)),IF(S28="Probabilidad",AD27,""))),"")</f>
        <v/>
      </c>
      <c r="AE28" s="133" t="str">
        <f t="shared" ref="AE28:AE29" si="22">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
      </c>
      <c r="AF28" s="134"/>
      <c r="AG28" s="135"/>
      <c r="AH28" s="136"/>
      <c r="AI28" s="137"/>
      <c r="AJ28" s="137"/>
      <c r="AK28" s="135"/>
      <c r="AL28" s="136"/>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row>
    <row r="29" spans="1:70" ht="151.5" customHeight="1" x14ac:dyDescent="0.3">
      <c r="A29" s="266"/>
      <c r="B29" s="225"/>
      <c r="C29" s="225"/>
      <c r="D29" s="142"/>
      <c r="E29" s="225"/>
      <c r="F29" s="269"/>
      <c r="G29" s="269"/>
      <c r="H29" s="225"/>
      <c r="I29" s="228"/>
      <c r="J29" s="231"/>
      <c r="K29" s="234"/>
      <c r="L29" s="237"/>
      <c r="M29" s="234">
        <f ca="1">IF(NOT(ISERROR(MATCH(L29,_xlfn.ANCHORARRAY(G40),0))),K42&amp;"Por favor no seleccionar los criterios de impacto",L29)</f>
        <v>0</v>
      </c>
      <c r="N29" s="231"/>
      <c r="O29" s="234"/>
      <c r="P29" s="222"/>
      <c r="Q29" s="125">
        <v>3</v>
      </c>
      <c r="R29" s="138"/>
      <c r="S29" s="127" t="str">
        <f>IF(OR(T29="Preventivo",T29="Detectivo"),"Probabilidad",IF(T29="Correctivo","Impacto",""))</f>
        <v/>
      </c>
      <c r="T29" s="128"/>
      <c r="U29" s="128"/>
      <c r="V29" s="129" t="str">
        <f t="shared" si="20"/>
        <v/>
      </c>
      <c r="W29" s="128"/>
      <c r="X29" s="128"/>
      <c r="Y29" s="128"/>
      <c r="Z29" s="130" t="str">
        <f>IFERROR(IF(AND(S28="Probabilidad",S29="Probabilidad"),(AB28-(+AB28*V29)),IF(AND(S28="Impacto",S29="Probabilidad"),(AB27-(+AB27*V29)),IF(S29="Impacto",AB28,""))),"")</f>
        <v/>
      </c>
      <c r="AA29" s="131" t="str">
        <f t="shared" si="1"/>
        <v/>
      </c>
      <c r="AB29" s="132" t="str">
        <f t="shared" si="21"/>
        <v/>
      </c>
      <c r="AC29" s="131" t="str">
        <f t="shared" si="3"/>
        <v/>
      </c>
      <c r="AD29" s="140" t="str">
        <f>IFERROR(IF(AND(S28="Impacto",S29="Impacto"),(AD28-(+AD28*V29)),IF(AND(S28="Probabilidad",S29="Impacto"),(AD27-(+AD27*V29)),IF(S29="Probabilidad",AD28,""))),"")</f>
        <v/>
      </c>
      <c r="AE29" s="133" t="str">
        <f t="shared" si="22"/>
        <v/>
      </c>
      <c r="AF29" s="134"/>
      <c r="AG29" s="135"/>
      <c r="AH29" s="136"/>
      <c r="AI29" s="137"/>
      <c r="AJ29" s="137"/>
      <c r="AK29" s="135"/>
      <c r="AL29" s="136"/>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row>
    <row r="30" spans="1:70" ht="151.5" customHeight="1" x14ac:dyDescent="0.3">
      <c r="A30" s="266"/>
      <c r="B30" s="225"/>
      <c r="C30" s="225"/>
      <c r="D30" s="142"/>
      <c r="E30" s="225"/>
      <c r="F30" s="269"/>
      <c r="G30" s="269"/>
      <c r="H30" s="225"/>
      <c r="I30" s="228"/>
      <c r="J30" s="231"/>
      <c r="K30" s="234"/>
      <c r="L30" s="237"/>
      <c r="M30" s="234">
        <f ca="1">IF(NOT(ISERROR(MATCH(L30,_xlfn.ANCHORARRAY(G41),0))),K43&amp;"Por favor no seleccionar los criterios de impacto",L30)</f>
        <v>0</v>
      </c>
      <c r="N30" s="231"/>
      <c r="O30" s="234"/>
      <c r="P30" s="222"/>
      <c r="Q30" s="125">
        <v>4</v>
      </c>
      <c r="R30" s="126"/>
      <c r="S30" s="127" t="str">
        <f t="shared" ref="S30:S32" si="23">IF(OR(T30="Preventivo",T30="Detectivo"),"Probabilidad",IF(T30="Correctivo","Impacto",""))</f>
        <v/>
      </c>
      <c r="T30" s="128"/>
      <c r="U30" s="128"/>
      <c r="V30" s="129" t="str">
        <f t="shared" si="20"/>
        <v/>
      </c>
      <c r="W30" s="128"/>
      <c r="X30" s="128"/>
      <c r="Y30" s="128"/>
      <c r="Z30" s="130" t="str">
        <f t="shared" ref="Z30:Z32" si="24">IFERROR(IF(AND(S29="Probabilidad",S30="Probabilidad"),(AB29-(+AB29*V30)),IF(AND(S29="Impacto",S30="Probabilidad"),(AB28-(+AB28*V30)),IF(S30="Impacto",AB29,""))),"")</f>
        <v/>
      </c>
      <c r="AA30" s="131" t="str">
        <f t="shared" si="1"/>
        <v/>
      </c>
      <c r="AB30" s="132" t="str">
        <f t="shared" si="21"/>
        <v/>
      </c>
      <c r="AC30" s="131" t="str">
        <f t="shared" si="3"/>
        <v/>
      </c>
      <c r="AD30" s="140" t="str">
        <f t="shared" ref="AD30:AD32" si="25">IFERROR(IF(AND(S29="Impacto",S30="Impacto"),(AD29-(+AD29*V30)),IF(AND(S29="Probabilidad",S30="Impacto"),(AD28-(+AD28*V30)),IF(S30="Probabilidad",AD29,""))),"")</f>
        <v/>
      </c>
      <c r="AE30" s="133" t="str">
        <f>IFERROR(IF(OR(AND(AA30="Muy Baja",AC30="Leve"),AND(AA30="Muy Baja",AC30="Menor"),AND(AA30="Baja",AC30="Leve")),"Bajo",IF(OR(AND(AA30="Muy baja",AC30="Moderado"),AND(AA30="Baja",AC30="Menor"),AND(AA30="Baja",AC30="Moderado"),AND(AA30="Media",AC30="Leve"),AND(AA30="Media",AC30="Menor"),AND(AA30="Media",AC30="Moderado"),AND(AA30="Alta",AC30="Leve"),AND(AA30="Alta",AC30="Menor")),"Moderado",IF(OR(AND(AA30="Muy Baja",AC30="Mayor"),AND(AA30="Baja",AC30="Mayor"),AND(AA30="Media",AC30="Mayor"),AND(AA30="Alta",AC30="Moderado"),AND(AA30="Alta",AC30="Mayor"),AND(AA30="Muy Alta",AC30="Leve"),AND(AA30="Muy Alta",AC30="Menor"),AND(AA30="Muy Alta",AC30="Moderado"),AND(AA30="Muy Alta",AC30="Mayor")),"Alto",IF(OR(AND(AA30="Muy Baja",AC30="Catastrófico"),AND(AA30="Baja",AC30="Catastrófico"),AND(AA30="Media",AC30="Catastrófico"),AND(AA30="Alta",AC30="Catastrófico"),AND(AA30="Muy Alta",AC30="Catastrófico")),"Extremo","")))),"")</f>
        <v/>
      </c>
      <c r="AF30" s="134"/>
      <c r="AG30" s="135"/>
      <c r="AH30" s="136"/>
      <c r="AI30" s="137"/>
      <c r="AJ30" s="137"/>
      <c r="AK30" s="135"/>
      <c r="AL30" s="136"/>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row>
    <row r="31" spans="1:70" ht="151.5" customHeight="1" x14ac:dyDescent="0.3">
      <c r="A31" s="266"/>
      <c r="B31" s="225"/>
      <c r="C31" s="225"/>
      <c r="D31" s="142"/>
      <c r="E31" s="225"/>
      <c r="F31" s="269"/>
      <c r="G31" s="269"/>
      <c r="H31" s="225"/>
      <c r="I31" s="228"/>
      <c r="J31" s="231"/>
      <c r="K31" s="234"/>
      <c r="L31" s="237"/>
      <c r="M31" s="234">
        <f ca="1">IF(NOT(ISERROR(MATCH(L31,_xlfn.ANCHORARRAY(G42),0))),K44&amp;"Por favor no seleccionar los criterios de impacto",L31)</f>
        <v>0</v>
      </c>
      <c r="N31" s="231"/>
      <c r="O31" s="234"/>
      <c r="P31" s="222"/>
      <c r="Q31" s="125">
        <v>5</v>
      </c>
      <c r="R31" s="126"/>
      <c r="S31" s="127" t="str">
        <f t="shared" si="23"/>
        <v/>
      </c>
      <c r="T31" s="128"/>
      <c r="U31" s="128"/>
      <c r="V31" s="129" t="str">
        <f t="shared" si="20"/>
        <v/>
      </c>
      <c r="W31" s="128"/>
      <c r="X31" s="128"/>
      <c r="Y31" s="128"/>
      <c r="Z31" s="139" t="str">
        <f t="shared" si="24"/>
        <v/>
      </c>
      <c r="AA31" s="131" t="str">
        <f>IFERROR(IF(Z31="","",IF(Z31&lt;=0.2,"Muy Baja",IF(Z31&lt;=0.4,"Baja",IF(Z31&lt;=0.6,"Media",IF(Z31&lt;=0.8,"Alta","Muy Alta"))))),"")</f>
        <v/>
      </c>
      <c r="AB31" s="132" t="str">
        <f t="shared" si="21"/>
        <v/>
      </c>
      <c r="AC31" s="131" t="str">
        <f t="shared" si="3"/>
        <v/>
      </c>
      <c r="AD31" s="140" t="str">
        <f t="shared" si="25"/>
        <v/>
      </c>
      <c r="AE31" s="133" t="str">
        <f t="shared" ref="AE31:AE32" si="26">IFERROR(IF(OR(AND(AA31="Muy Baja",AC31="Leve"),AND(AA31="Muy Baja",AC31="Menor"),AND(AA31="Baja",AC31="Leve")),"Bajo",IF(OR(AND(AA31="Muy baja",AC31="Moderado"),AND(AA31="Baja",AC31="Menor"),AND(AA31="Baja",AC31="Moderado"),AND(AA31="Media",AC31="Leve"),AND(AA31="Media",AC31="Menor"),AND(AA31="Media",AC31="Moderado"),AND(AA31="Alta",AC31="Leve"),AND(AA31="Alta",AC31="Menor")),"Moderado",IF(OR(AND(AA31="Muy Baja",AC31="Mayor"),AND(AA31="Baja",AC31="Mayor"),AND(AA31="Media",AC31="Mayor"),AND(AA31="Alta",AC31="Moderado"),AND(AA31="Alta",AC31="Mayor"),AND(AA31="Muy Alta",AC31="Leve"),AND(AA31="Muy Alta",AC31="Menor"),AND(AA31="Muy Alta",AC31="Moderado"),AND(AA31="Muy Alta",AC31="Mayor")),"Alto",IF(OR(AND(AA31="Muy Baja",AC31="Catastrófico"),AND(AA31="Baja",AC31="Catastrófico"),AND(AA31="Media",AC31="Catastrófico"),AND(AA31="Alta",AC31="Catastrófico"),AND(AA31="Muy Alta",AC31="Catastrófico")),"Extremo","")))),"")</f>
        <v/>
      </c>
      <c r="AF31" s="134"/>
      <c r="AG31" s="135"/>
      <c r="AH31" s="136"/>
      <c r="AI31" s="137"/>
      <c r="AJ31" s="137"/>
      <c r="AK31" s="135"/>
      <c r="AL31" s="136"/>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ht="151.5" customHeight="1" x14ac:dyDescent="0.3">
      <c r="A32" s="267"/>
      <c r="B32" s="226"/>
      <c r="C32" s="226"/>
      <c r="D32" s="143"/>
      <c r="E32" s="226"/>
      <c r="F32" s="270"/>
      <c r="G32" s="270"/>
      <c r="H32" s="226"/>
      <c r="I32" s="229"/>
      <c r="J32" s="232"/>
      <c r="K32" s="235"/>
      <c r="L32" s="238"/>
      <c r="M32" s="235">
        <f ca="1">IF(NOT(ISERROR(MATCH(L32,_xlfn.ANCHORARRAY(G43),0))),K45&amp;"Por favor no seleccionar los criterios de impacto",L32)</f>
        <v>0</v>
      </c>
      <c r="N32" s="232"/>
      <c r="O32" s="235"/>
      <c r="P32" s="223"/>
      <c r="Q32" s="125">
        <v>6</v>
      </c>
      <c r="R32" s="126"/>
      <c r="S32" s="127" t="str">
        <f t="shared" si="23"/>
        <v/>
      </c>
      <c r="T32" s="128"/>
      <c r="U32" s="128"/>
      <c r="V32" s="129" t="str">
        <f t="shared" si="20"/>
        <v/>
      </c>
      <c r="W32" s="128"/>
      <c r="X32" s="128"/>
      <c r="Y32" s="128"/>
      <c r="Z32" s="130" t="str">
        <f t="shared" si="24"/>
        <v/>
      </c>
      <c r="AA32" s="131" t="str">
        <f t="shared" si="1"/>
        <v/>
      </c>
      <c r="AB32" s="132" t="str">
        <f t="shared" si="21"/>
        <v/>
      </c>
      <c r="AC32" s="131" t="str">
        <f t="shared" si="3"/>
        <v/>
      </c>
      <c r="AD32" s="140" t="str">
        <f t="shared" si="25"/>
        <v/>
      </c>
      <c r="AE32" s="133" t="str">
        <f t="shared" si="26"/>
        <v/>
      </c>
      <c r="AF32" s="134"/>
      <c r="AG32" s="135"/>
      <c r="AH32" s="136"/>
      <c r="AI32" s="137"/>
      <c r="AJ32" s="137"/>
      <c r="AK32" s="135"/>
      <c r="AL32" s="136"/>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row>
    <row r="33" spans="1:70" ht="151.5" customHeight="1" x14ac:dyDescent="0.3">
      <c r="A33" s="265">
        <v>5</v>
      </c>
      <c r="B33" s="224"/>
      <c r="C33" s="224"/>
      <c r="D33" s="141"/>
      <c r="E33" s="224"/>
      <c r="F33" s="268"/>
      <c r="G33" s="268"/>
      <c r="H33" s="224"/>
      <c r="I33" s="227"/>
      <c r="J33" s="230" t="str">
        <f>IF(I33&lt;=0,"",IF(I33&lt;=2,"Muy Baja",IF(I33&lt;=24,"Baja",IF(I33&lt;=500,"Media",IF(I33&lt;=5000,"Alta","Muy Alta")))))</f>
        <v/>
      </c>
      <c r="K33" s="233" t="str">
        <f>IF(J33="","",IF(J33="Muy Baja",0.2,IF(J33="Baja",0.4,IF(J33="Media",0.6,IF(J33="Alta",0.8,IF(J33="Muy Alta",1,))))))</f>
        <v/>
      </c>
      <c r="L33" s="236"/>
      <c r="M33" s="233">
        <f ca="1">IF(NOT(ISERROR(MATCH(L33,'Tabla Impacto'!$B$221:$B$223,0))),'Tabla Impacto'!$F$223&amp;"Por favor no seleccionar los criterios de impacto(Afectación Económica o presupuestal y Pérdida Reputacional)",L33)</f>
        <v>0</v>
      </c>
      <c r="N33" s="230" t="str">
        <f ca="1">IF(OR(M33='Tabla Impacto'!$C$11,M33='Tabla Impacto'!$D$11),"Leve",IF(OR(M33='Tabla Impacto'!$C$12,M33='Tabla Impacto'!$D$12),"Menor",IF(OR(M33='Tabla Impacto'!$C$13,M33='Tabla Impacto'!$D$13),"Moderado",IF(OR(M33='Tabla Impacto'!$C$14,M33='Tabla Impacto'!$D$14),"Mayor",IF(OR(M33='Tabla Impacto'!$C$15,M33='Tabla Impacto'!$D$15),"Catastrófico","")))))</f>
        <v/>
      </c>
      <c r="O33" s="233" t="str">
        <f ca="1">IF(N33="","",IF(N33="Leve",0.2,IF(N33="Menor",0.4,IF(N33="Moderado",0.6,IF(N33="Mayor",0.8,IF(N33="Catastrófico",1,))))))</f>
        <v/>
      </c>
      <c r="P33" s="221" t="str">
        <f ca="1">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
      </c>
      <c r="Q33" s="125">
        <v>1</v>
      </c>
      <c r="R33" s="126"/>
      <c r="S33" s="127" t="str">
        <f>IF(OR(T33="Preventivo",T33="Detectivo"),"Probabilidad",IF(T33="Correctivo","Impacto",""))</f>
        <v/>
      </c>
      <c r="T33" s="128"/>
      <c r="U33" s="128"/>
      <c r="V33" s="129" t="str">
        <f>IF(AND(T33="Preventivo",U33="Automático"),"50%",IF(AND(T33="Preventivo",U33="Manual"),"40%",IF(AND(T33="Detectivo",U33="Automático"),"40%",IF(AND(T33="Detectivo",U33="Manual"),"30%",IF(AND(T33="Correctivo",U33="Automático"),"35%",IF(AND(T33="Correctivo",U33="Manual"),"25%",""))))))</f>
        <v/>
      </c>
      <c r="W33" s="128"/>
      <c r="X33" s="128"/>
      <c r="Y33" s="128"/>
      <c r="Z33" s="130" t="str">
        <f>IFERROR(IF(S33="Probabilidad",(K33-(+K33*V33)),IF(S33="Impacto",K33,"")),"")</f>
        <v/>
      </c>
      <c r="AA33" s="131" t="str">
        <f>IFERROR(IF(Z33="","",IF(Z33&lt;=0.2,"Muy Baja",IF(Z33&lt;=0.4,"Baja",IF(Z33&lt;=0.6,"Media",IF(Z33&lt;=0.8,"Alta","Muy Alta"))))),"")</f>
        <v/>
      </c>
      <c r="AB33" s="132" t="str">
        <f>+Z33</f>
        <v/>
      </c>
      <c r="AC33" s="131" t="str">
        <f>IFERROR(IF(AD33="","",IF(AD33&lt;=0.2,"Leve",IF(AD33&lt;=0.4,"Menor",IF(AD33&lt;=0.6,"Moderado",IF(AD33&lt;=0.8,"Mayor","Catastrófico"))))),"")</f>
        <v/>
      </c>
      <c r="AD33" s="140" t="str">
        <f>IFERROR(IF(S33="Impacto",(O33-(+O33*V33)),IF(S33="Probabilidad",O33,"")),"")</f>
        <v/>
      </c>
      <c r="AE33" s="133" t="str">
        <f>IFERROR(IF(OR(AND(AA33="Muy Baja",AC33="Leve"),AND(AA33="Muy Baja",AC33="Menor"),AND(AA33="Baja",AC33="Leve")),"Bajo",IF(OR(AND(AA33="Muy baja",AC33="Moderado"),AND(AA33="Baja",AC33="Menor"),AND(AA33="Baja",AC33="Moderado"),AND(AA33="Media",AC33="Leve"),AND(AA33="Media",AC33="Menor"),AND(AA33="Media",AC33="Moderado"),AND(AA33="Alta",AC33="Leve"),AND(AA33="Alta",AC33="Menor")),"Moderado",IF(OR(AND(AA33="Muy Baja",AC33="Mayor"),AND(AA33="Baja",AC33="Mayor"),AND(AA33="Media",AC33="Mayor"),AND(AA33="Alta",AC33="Moderado"),AND(AA33="Alta",AC33="Mayor"),AND(AA33="Muy Alta",AC33="Leve"),AND(AA33="Muy Alta",AC33="Menor"),AND(AA33="Muy Alta",AC33="Moderado"),AND(AA33="Muy Alta",AC33="Mayor")),"Alto",IF(OR(AND(AA33="Muy Baja",AC33="Catastrófico"),AND(AA33="Baja",AC33="Catastrófico"),AND(AA33="Media",AC33="Catastrófico"),AND(AA33="Alta",AC33="Catastrófico"),AND(AA33="Muy Alta",AC33="Catastrófico")),"Extremo","")))),"")</f>
        <v/>
      </c>
      <c r="AF33" s="134"/>
      <c r="AG33" s="135"/>
      <c r="AH33" s="136"/>
      <c r="AI33" s="137"/>
      <c r="AJ33" s="137"/>
      <c r="AK33" s="135"/>
      <c r="AL33" s="136"/>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row>
    <row r="34" spans="1:70" ht="151.5" customHeight="1" x14ac:dyDescent="0.3">
      <c r="A34" s="266"/>
      <c r="B34" s="225"/>
      <c r="C34" s="225"/>
      <c r="D34" s="142"/>
      <c r="E34" s="225"/>
      <c r="F34" s="269"/>
      <c r="G34" s="269"/>
      <c r="H34" s="225"/>
      <c r="I34" s="228"/>
      <c r="J34" s="231"/>
      <c r="K34" s="234"/>
      <c r="L34" s="237"/>
      <c r="M34" s="234">
        <f ca="1">IF(NOT(ISERROR(MATCH(L34,_xlfn.ANCHORARRAY(G45),0))),K47&amp;"Por favor no seleccionar los criterios de impacto",L34)</f>
        <v>0</v>
      </c>
      <c r="N34" s="231"/>
      <c r="O34" s="234"/>
      <c r="P34" s="222"/>
      <c r="Q34" s="125">
        <v>2</v>
      </c>
      <c r="R34" s="126"/>
      <c r="S34" s="127" t="str">
        <f>IF(OR(T34="Preventivo",T34="Detectivo"),"Probabilidad",IF(T34="Correctivo","Impacto",""))</f>
        <v/>
      </c>
      <c r="T34" s="128"/>
      <c r="U34" s="128"/>
      <c r="V34" s="129" t="str">
        <f t="shared" ref="V34:V38" si="27">IF(AND(T34="Preventivo",U34="Automático"),"50%",IF(AND(T34="Preventivo",U34="Manual"),"40%",IF(AND(T34="Detectivo",U34="Automático"),"40%",IF(AND(T34="Detectivo",U34="Manual"),"30%",IF(AND(T34="Correctivo",U34="Automático"),"35%",IF(AND(T34="Correctivo",U34="Manual"),"25%",""))))))</f>
        <v/>
      </c>
      <c r="W34" s="128"/>
      <c r="X34" s="128"/>
      <c r="Y34" s="128"/>
      <c r="Z34" s="130" t="str">
        <f>IFERROR(IF(AND(S33="Probabilidad",S34="Probabilidad"),(AB33-(+AB33*V34)),IF(S34="Probabilidad",(K33-(+K33*V34)),IF(S34="Impacto",AB33,""))),"")</f>
        <v/>
      </c>
      <c r="AA34" s="131" t="str">
        <f t="shared" si="1"/>
        <v/>
      </c>
      <c r="AB34" s="132" t="str">
        <f t="shared" ref="AB34:AB38" si="28">+Z34</f>
        <v/>
      </c>
      <c r="AC34" s="131" t="str">
        <f t="shared" si="3"/>
        <v/>
      </c>
      <c r="AD34" s="140" t="str">
        <f>IFERROR(IF(AND(S33="Impacto",S34="Impacto"),(AD33-(+AD33*V34)),IF(S34="Impacto",(O33-(+O33*V34)),IF(S34="Probabilidad",AD33,""))),"")</f>
        <v/>
      </c>
      <c r="AE34" s="133" t="str">
        <f t="shared" ref="AE34:AE35" si="29">IFERROR(IF(OR(AND(AA34="Muy Baja",AC34="Leve"),AND(AA34="Muy Baja",AC34="Menor"),AND(AA34="Baja",AC34="Leve")),"Bajo",IF(OR(AND(AA34="Muy baja",AC34="Moderado"),AND(AA34="Baja",AC34="Menor"),AND(AA34="Baja",AC34="Moderado"),AND(AA34="Media",AC34="Leve"),AND(AA34="Media",AC34="Menor"),AND(AA34="Media",AC34="Moderado"),AND(AA34="Alta",AC34="Leve"),AND(AA34="Alta",AC34="Menor")),"Moderado",IF(OR(AND(AA34="Muy Baja",AC34="Mayor"),AND(AA34="Baja",AC34="Mayor"),AND(AA34="Media",AC34="Mayor"),AND(AA34="Alta",AC34="Moderado"),AND(AA34="Alta",AC34="Mayor"),AND(AA34="Muy Alta",AC34="Leve"),AND(AA34="Muy Alta",AC34="Menor"),AND(AA34="Muy Alta",AC34="Moderado"),AND(AA34="Muy Alta",AC34="Mayor")),"Alto",IF(OR(AND(AA34="Muy Baja",AC34="Catastrófico"),AND(AA34="Baja",AC34="Catastrófico"),AND(AA34="Media",AC34="Catastrófico"),AND(AA34="Alta",AC34="Catastrófico"),AND(AA34="Muy Alta",AC34="Catastrófico")),"Extremo","")))),"")</f>
        <v/>
      </c>
      <c r="AF34" s="134"/>
      <c r="AG34" s="135"/>
      <c r="AH34" s="136"/>
      <c r="AI34" s="137"/>
      <c r="AJ34" s="137"/>
      <c r="AK34" s="135"/>
      <c r="AL34" s="136"/>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row>
    <row r="35" spans="1:70" ht="151.5" customHeight="1" x14ac:dyDescent="0.3">
      <c r="A35" s="266"/>
      <c r="B35" s="225"/>
      <c r="C35" s="225"/>
      <c r="D35" s="142"/>
      <c r="E35" s="225"/>
      <c r="F35" s="269"/>
      <c r="G35" s="269"/>
      <c r="H35" s="225"/>
      <c r="I35" s="228"/>
      <c r="J35" s="231"/>
      <c r="K35" s="234"/>
      <c r="L35" s="237"/>
      <c r="M35" s="234">
        <f ca="1">IF(NOT(ISERROR(MATCH(L35,_xlfn.ANCHORARRAY(G46),0))),K48&amp;"Por favor no seleccionar los criterios de impacto",L35)</f>
        <v>0</v>
      </c>
      <c r="N35" s="231"/>
      <c r="O35" s="234"/>
      <c r="P35" s="222"/>
      <c r="Q35" s="125">
        <v>3</v>
      </c>
      <c r="R35" s="138"/>
      <c r="S35" s="127" t="str">
        <f>IF(OR(T35="Preventivo",T35="Detectivo"),"Probabilidad",IF(T35="Correctivo","Impacto",""))</f>
        <v/>
      </c>
      <c r="T35" s="128"/>
      <c r="U35" s="128"/>
      <c r="V35" s="129" t="str">
        <f t="shared" si="27"/>
        <v/>
      </c>
      <c r="W35" s="128"/>
      <c r="X35" s="128"/>
      <c r="Y35" s="128"/>
      <c r="Z35" s="130" t="str">
        <f>IFERROR(IF(AND(S34="Probabilidad",S35="Probabilidad"),(AB34-(+AB34*V35)),IF(AND(S34="Impacto",S35="Probabilidad"),(AB33-(+AB33*V35)),IF(S35="Impacto",AB34,""))),"")</f>
        <v/>
      </c>
      <c r="AA35" s="131" t="str">
        <f t="shared" si="1"/>
        <v/>
      </c>
      <c r="AB35" s="132" t="str">
        <f t="shared" si="28"/>
        <v/>
      </c>
      <c r="AC35" s="131" t="str">
        <f t="shared" si="3"/>
        <v/>
      </c>
      <c r="AD35" s="140" t="str">
        <f>IFERROR(IF(AND(S34="Impacto",S35="Impacto"),(AD34-(+AD34*V35)),IF(AND(S34="Probabilidad",S35="Impacto"),(AD33-(+AD33*V35)),IF(S35="Probabilidad",AD34,""))),"")</f>
        <v/>
      </c>
      <c r="AE35" s="133" t="str">
        <f t="shared" si="29"/>
        <v/>
      </c>
      <c r="AF35" s="134"/>
      <c r="AG35" s="135"/>
      <c r="AH35" s="136"/>
      <c r="AI35" s="137"/>
      <c r="AJ35" s="137"/>
      <c r="AK35" s="135"/>
      <c r="AL35" s="136"/>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row>
    <row r="36" spans="1:70" ht="151.5" customHeight="1" x14ac:dyDescent="0.3">
      <c r="A36" s="266"/>
      <c r="B36" s="225"/>
      <c r="C36" s="225"/>
      <c r="D36" s="142"/>
      <c r="E36" s="225"/>
      <c r="F36" s="269"/>
      <c r="G36" s="269"/>
      <c r="H36" s="225"/>
      <c r="I36" s="228"/>
      <c r="J36" s="231"/>
      <c r="K36" s="234"/>
      <c r="L36" s="237"/>
      <c r="M36" s="234">
        <f ca="1">IF(NOT(ISERROR(MATCH(L36,_xlfn.ANCHORARRAY(G47),0))),K49&amp;"Por favor no seleccionar los criterios de impacto",L36)</f>
        <v>0</v>
      </c>
      <c r="N36" s="231"/>
      <c r="O36" s="234"/>
      <c r="P36" s="222"/>
      <c r="Q36" s="125">
        <v>4</v>
      </c>
      <c r="R36" s="126"/>
      <c r="S36" s="127" t="str">
        <f t="shared" ref="S36:S38" si="30">IF(OR(T36="Preventivo",T36="Detectivo"),"Probabilidad",IF(T36="Correctivo","Impacto",""))</f>
        <v/>
      </c>
      <c r="T36" s="128"/>
      <c r="U36" s="128"/>
      <c r="V36" s="129" t="str">
        <f t="shared" si="27"/>
        <v/>
      </c>
      <c r="W36" s="128"/>
      <c r="X36" s="128"/>
      <c r="Y36" s="128"/>
      <c r="Z36" s="130" t="str">
        <f t="shared" ref="Z36:Z38" si="31">IFERROR(IF(AND(S35="Probabilidad",S36="Probabilidad"),(AB35-(+AB35*V36)),IF(AND(S35="Impacto",S36="Probabilidad"),(AB34-(+AB34*V36)),IF(S36="Impacto",AB35,""))),"")</f>
        <v/>
      </c>
      <c r="AA36" s="131" t="str">
        <f t="shared" si="1"/>
        <v/>
      </c>
      <c r="AB36" s="132" t="str">
        <f t="shared" si="28"/>
        <v/>
      </c>
      <c r="AC36" s="131" t="str">
        <f t="shared" si="3"/>
        <v/>
      </c>
      <c r="AD36" s="140" t="str">
        <f t="shared" ref="AD36:AD38" si="32">IFERROR(IF(AND(S35="Impacto",S36="Impacto"),(AD35-(+AD35*V36)),IF(AND(S35="Probabilidad",S36="Impacto"),(AD34-(+AD34*V36)),IF(S36="Probabilidad",AD35,""))),"")</f>
        <v/>
      </c>
      <c r="AE36" s="133" t="str">
        <f>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
      </c>
      <c r="AF36" s="134"/>
      <c r="AG36" s="135"/>
      <c r="AH36" s="136"/>
      <c r="AI36" s="137"/>
      <c r="AJ36" s="137"/>
      <c r="AK36" s="135"/>
      <c r="AL36" s="136"/>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row>
    <row r="37" spans="1:70" ht="151.5" customHeight="1" x14ac:dyDescent="0.3">
      <c r="A37" s="266"/>
      <c r="B37" s="225"/>
      <c r="C37" s="225"/>
      <c r="D37" s="142"/>
      <c r="E37" s="225"/>
      <c r="F37" s="269"/>
      <c r="G37" s="269"/>
      <c r="H37" s="225"/>
      <c r="I37" s="228"/>
      <c r="J37" s="231"/>
      <c r="K37" s="234"/>
      <c r="L37" s="237"/>
      <c r="M37" s="234">
        <f ca="1">IF(NOT(ISERROR(MATCH(L37,_xlfn.ANCHORARRAY(G48),0))),K50&amp;"Por favor no seleccionar los criterios de impacto",L37)</f>
        <v>0</v>
      </c>
      <c r="N37" s="231"/>
      <c r="O37" s="234"/>
      <c r="P37" s="222"/>
      <c r="Q37" s="125">
        <v>5</v>
      </c>
      <c r="R37" s="126"/>
      <c r="S37" s="127" t="str">
        <f t="shared" si="30"/>
        <v/>
      </c>
      <c r="T37" s="128"/>
      <c r="U37" s="128"/>
      <c r="V37" s="129" t="str">
        <f t="shared" si="27"/>
        <v/>
      </c>
      <c r="W37" s="128"/>
      <c r="X37" s="128"/>
      <c r="Y37" s="128"/>
      <c r="Z37" s="130" t="str">
        <f t="shared" si="31"/>
        <v/>
      </c>
      <c r="AA37" s="131" t="str">
        <f t="shared" si="1"/>
        <v/>
      </c>
      <c r="AB37" s="132" t="str">
        <f t="shared" si="28"/>
        <v/>
      </c>
      <c r="AC37" s="131" t="str">
        <f t="shared" si="3"/>
        <v/>
      </c>
      <c r="AD37" s="140" t="str">
        <f t="shared" si="32"/>
        <v/>
      </c>
      <c r="AE37" s="133" t="str">
        <f t="shared" ref="AE37:AE38" si="33">IFERROR(IF(OR(AND(AA37="Muy Baja",AC37="Leve"),AND(AA37="Muy Baja",AC37="Menor"),AND(AA37="Baja",AC37="Leve")),"Bajo",IF(OR(AND(AA37="Muy baja",AC37="Moderado"),AND(AA37="Baja",AC37="Menor"),AND(AA37="Baja",AC37="Moderado"),AND(AA37="Media",AC37="Leve"),AND(AA37="Media",AC37="Menor"),AND(AA37="Media",AC37="Moderado"),AND(AA37="Alta",AC37="Leve"),AND(AA37="Alta",AC37="Menor")),"Moderado",IF(OR(AND(AA37="Muy Baja",AC37="Mayor"),AND(AA37="Baja",AC37="Mayor"),AND(AA37="Media",AC37="Mayor"),AND(AA37="Alta",AC37="Moderado"),AND(AA37="Alta",AC37="Mayor"),AND(AA37="Muy Alta",AC37="Leve"),AND(AA37="Muy Alta",AC37="Menor"),AND(AA37="Muy Alta",AC37="Moderado"),AND(AA37="Muy Alta",AC37="Mayor")),"Alto",IF(OR(AND(AA37="Muy Baja",AC37="Catastrófico"),AND(AA37="Baja",AC37="Catastrófico"),AND(AA37="Media",AC37="Catastrófico"),AND(AA37="Alta",AC37="Catastrófico"),AND(AA37="Muy Alta",AC37="Catastrófico")),"Extremo","")))),"")</f>
        <v/>
      </c>
      <c r="AF37" s="134"/>
      <c r="AG37" s="135"/>
      <c r="AH37" s="136"/>
      <c r="AI37" s="137"/>
      <c r="AJ37" s="137"/>
      <c r="AK37" s="135"/>
      <c r="AL37" s="136"/>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row>
    <row r="38" spans="1:70" ht="151.5" customHeight="1" x14ac:dyDescent="0.3">
      <c r="A38" s="267"/>
      <c r="B38" s="226"/>
      <c r="C38" s="226"/>
      <c r="D38" s="143"/>
      <c r="E38" s="226"/>
      <c r="F38" s="270"/>
      <c r="G38" s="270"/>
      <c r="H38" s="226"/>
      <c r="I38" s="229"/>
      <c r="J38" s="232"/>
      <c r="K38" s="235"/>
      <c r="L38" s="238"/>
      <c r="M38" s="235">
        <f ca="1">IF(NOT(ISERROR(MATCH(L38,_xlfn.ANCHORARRAY(G49),0))),K51&amp;"Por favor no seleccionar los criterios de impacto",L38)</f>
        <v>0</v>
      </c>
      <c r="N38" s="232"/>
      <c r="O38" s="235"/>
      <c r="P38" s="223"/>
      <c r="Q38" s="125">
        <v>6</v>
      </c>
      <c r="R38" s="126"/>
      <c r="S38" s="127" t="str">
        <f t="shared" si="30"/>
        <v/>
      </c>
      <c r="T38" s="128"/>
      <c r="U38" s="128"/>
      <c r="V38" s="129" t="str">
        <f t="shared" si="27"/>
        <v/>
      </c>
      <c r="W38" s="128"/>
      <c r="X38" s="128"/>
      <c r="Y38" s="128"/>
      <c r="Z38" s="130" t="str">
        <f t="shared" si="31"/>
        <v/>
      </c>
      <c r="AA38" s="131" t="str">
        <f t="shared" si="1"/>
        <v/>
      </c>
      <c r="AB38" s="132" t="str">
        <f t="shared" si="28"/>
        <v/>
      </c>
      <c r="AC38" s="131" t="str">
        <f t="shared" si="3"/>
        <v/>
      </c>
      <c r="AD38" s="140" t="str">
        <f t="shared" si="32"/>
        <v/>
      </c>
      <c r="AE38" s="133" t="str">
        <f t="shared" si="33"/>
        <v/>
      </c>
      <c r="AF38" s="134"/>
      <c r="AG38" s="135"/>
      <c r="AH38" s="136"/>
      <c r="AI38" s="137"/>
      <c r="AJ38" s="137"/>
      <c r="AK38" s="135"/>
      <c r="AL38" s="136"/>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row>
    <row r="39" spans="1:70" ht="151.5" customHeight="1" x14ac:dyDescent="0.3">
      <c r="A39" s="265">
        <v>6</v>
      </c>
      <c r="B39" s="224"/>
      <c r="C39" s="224"/>
      <c r="D39" s="141"/>
      <c r="E39" s="224"/>
      <c r="F39" s="268"/>
      <c r="G39" s="268"/>
      <c r="H39" s="224"/>
      <c r="I39" s="227"/>
      <c r="J39" s="230" t="str">
        <f>IF(I39&lt;=0,"",IF(I39&lt;=2,"Muy Baja",IF(I39&lt;=24,"Baja",IF(I39&lt;=500,"Media",IF(I39&lt;=5000,"Alta","Muy Alta")))))</f>
        <v/>
      </c>
      <c r="K39" s="233" t="str">
        <f>IF(J39="","",IF(J39="Muy Baja",0.2,IF(J39="Baja",0.4,IF(J39="Media",0.6,IF(J39="Alta",0.8,IF(J39="Muy Alta",1,))))))</f>
        <v/>
      </c>
      <c r="L39" s="236"/>
      <c r="M39" s="233">
        <f ca="1">IF(NOT(ISERROR(MATCH(L39,'Tabla Impacto'!$B$221:$B$223,0))),'Tabla Impacto'!$F$223&amp;"Por favor no seleccionar los criterios de impacto(Afectación Económica o presupuestal y Pérdida Reputacional)",L39)</f>
        <v>0</v>
      </c>
      <c r="N39" s="230" t="str">
        <f ca="1">IF(OR(M39='Tabla Impacto'!$C$11,M39='Tabla Impacto'!$D$11),"Leve",IF(OR(M39='Tabla Impacto'!$C$12,M39='Tabla Impacto'!$D$12),"Menor",IF(OR(M39='Tabla Impacto'!$C$13,M39='Tabla Impacto'!$D$13),"Moderado",IF(OR(M39='Tabla Impacto'!$C$14,M39='Tabla Impacto'!$D$14),"Mayor",IF(OR(M39='Tabla Impacto'!$C$15,M39='Tabla Impacto'!$D$15),"Catastrófico","")))))</f>
        <v/>
      </c>
      <c r="O39" s="233" t="str">
        <f ca="1">IF(N39="","",IF(N39="Leve",0.2,IF(N39="Menor",0.4,IF(N39="Moderado",0.6,IF(N39="Mayor",0.8,IF(N39="Catastrófico",1,))))))</f>
        <v/>
      </c>
      <c r="P39" s="221" t="str">
        <f ca="1">IF(OR(AND(J39="Muy Baja",N39="Leve"),AND(J39="Muy Baja",N39="Menor"),AND(J39="Baja",N39="Leve")),"Bajo",IF(OR(AND(J39="Muy baja",N39="Moderado"),AND(J39="Baja",N39="Menor"),AND(J39="Baja",N39="Moderado"),AND(J39="Media",N39="Leve"),AND(J39="Media",N39="Menor"),AND(J39="Media",N39="Moderado"),AND(J39="Alta",N39="Leve"),AND(J39="Alta",N39="Menor")),"Moderado",IF(OR(AND(J39="Muy Baja",N39="Mayor"),AND(J39="Baja",N39="Mayor"),AND(J39="Media",N39="Mayor"),AND(J39="Alta",N39="Moderado"),AND(J39="Alta",N39="Mayor"),AND(J39="Muy Alta",N39="Leve"),AND(J39="Muy Alta",N39="Menor"),AND(J39="Muy Alta",N39="Moderado"),AND(J39="Muy Alta",N39="Mayor")),"Alto",IF(OR(AND(J39="Muy Baja",N39="Catastrófico"),AND(J39="Baja",N39="Catastrófico"),AND(J39="Media",N39="Catastrófico"),AND(J39="Alta",N39="Catastrófico"),AND(J39="Muy Alta",N39="Catastrófico")),"Extremo",""))))</f>
        <v/>
      </c>
      <c r="Q39" s="125">
        <v>1</v>
      </c>
      <c r="R39" s="126"/>
      <c r="S39" s="127" t="str">
        <f>IF(OR(T39="Preventivo",T39="Detectivo"),"Probabilidad",IF(T39="Correctivo","Impacto",""))</f>
        <v/>
      </c>
      <c r="T39" s="128"/>
      <c r="U39" s="128"/>
      <c r="V39" s="129" t="str">
        <f>IF(AND(T39="Preventivo",U39="Automático"),"50%",IF(AND(T39="Preventivo",U39="Manual"),"40%",IF(AND(T39="Detectivo",U39="Automático"),"40%",IF(AND(T39="Detectivo",U39="Manual"),"30%",IF(AND(T39="Correctivo",U39="Automático"),"35%",IF(AND(T39="Correctivo",U39="Manual"),"25%",""))))))</f>
        <v/>
      </c>
      <c r="W39" s="128"/>
      <c r="X39" s="128"/>
      <c r="Y39" s="128"/>
      <c r="Z39" s="130" t="str">
        <f>IFERROR(IF(S39="Probabilidad",(K39-(+K39*V39)),IF(S39="Impacto",K39,"")),"")</f>
        <v/>
      </c>
      <c r="AA39" s="131" t="str">
        <f>IFERROR(IF(Z39="","",IF(Z39&lt;=0.2,"Muy Baja",IF(Z39&lt;=0.4,"Baja",IF(Z39&lt;=0.6,"Media",IF(Z39&lt;=0.8,"Alta","Muy Alta"))))),"")</f>
        <v/>
      </c>
      <c r="AB39" s="132" t="str">
        <f>+Z39</f>
        <v/>
      </c>
      <c r="AC39" s="131" t="str">
        <f>IFERROR(IF(AD39="","",IF(AD39&lt;=0.2,"Leve",IF(AD39&lt;=0.4,"Menor",IF(AD39&lt;=0.6,"Moderado",IF(AD39&lt;=0.8,"Mayor","Catastrófico"))))),"")</f>
        <v/>
      </c>
      <c r="AD39" s="140" t="str">
        <f>IFERROR(IF(S39="Impacto",(O39-(+O39*V39)),IF(S39="Probabilidad",O39,"")),"")</f>
        <v/>
      </c>
      <c r="AE39" s="133" t="str">
        <f>IFERROR(IF(OR(AND(AA39="Muy Baja",AC39="Leve"),AND(AA39="Muy Baja",AC39="Menor"),AND(AA39="Baja",AC39="Leve")),"Bajo",IF(OR(AND(AA39="Muy baja",AC39="Moderado"),AND(AA39="Baja",AC39="Menor"),AND(AA39="Baja",AC39="Moderado"),AND(AA39="Media",AC39="Leve"),AND(AA39="Media",AC39="Menor"),AND(AA39="Media",AC39="Moderado"),AND(AA39="Alta",AC39="Leve"),AND(AA39="Alta",AC39="Menor")),"Moderado",IF(OR(AND(AA39="Muy Baja",AC39="Mayor"),AND(AA39="Baja",AC39="Mayor"),AND(AA39="Media",AC39="Mayor"),AND(AA39="Alta",AC39="Moderado"),AND(AA39="Alta",AC39="Mayor"),AND(AA39="Muy Alta",AC39="Leve"),AND(AA39="Muy Alta",AC39="Menor"),AND(AA39="Muy Alta",AC39="Moderado"),AND(AA39="Muy Alta",AC39="Mayor")),"Alto",IF(OR(AND(AA39="Muy Baja",AC39="Catastrófico"),AND(AA39="Baja",AC39="Catastrófico"),AND(AA39="Media",AC39="Catastrófico"),AND(AA39="Alta",AC39="Catastrófico"),AND(AA39="Muy Alta",AC39="Catastrófico")),"Extremo","")))),"")</f>
        <v/>
      </c>
      <c r="AF39" s="134"/>
      <c r="AG39" s="135"/>
      <c r="AH39" s="136"/>
      <c r="AI39" s="137"/>
      <c r="AJ39" s="137"/>
      <c r="AK39" s="135"/>
      <c r="AL39" s="136"/>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row>
    <row r="40" spans="1:70" ht="151.5" customHeight="1" x14ac:dyDescent="0.3">
      <c r="A40" s="266"/>
      <c r="B40" s="225"/>
      <c r="C40" s="225"/>
      <c r="D40" s="142"/>
      <c r="E40" s="225"/>
      <c r="F40" s="269"/>
      <c r="G40" s="269"/>
      <c r="H40" s="225"/>
      <c r="I40" s="228"/>
      <c r="J40" s="231"/>
      <c r="K40" s="234"/>
      <c r="L40" s="237"/>
      <c r="M40" s="234">
        <f ca="1">IF(NOT(ISERROR(MATCH(L40,_xlfn.ANCHORARRAY(G51),0))),K53&amp;"Por favor no seleccionar los criterios de impacto",L40)</f>
        <v>0</v>
      </c>
      <c r="N40" s="231"/>
      <c r="O40" s="234"/>
      <c r="P40" s="222"/>
      <c r="Q40" s="125">
        <v>2</v>
      </c>
      <c r="R40" s="126"/>
      <c r="S40" s="127" t="str">
        <f>IF(OR(T40="Preventivo",T40="Detectivo"),"Probabilidad",IF(T40="Correctivo","Impacto",""))</f>
        <v/>
      </c>
      <c r="T40" s="128"/>
      <c r="U40" s="128"/>
      <c r="V40" s="129" t="str">
        <f t="shared" ref="V40:V44" si="34">IF(AND(T40="Preventivo",U40="Automático"),"50%",IF(AND(T40="Preventivo",U40="Manual"),"40%",IF(AND(T40="Detectivo",U40="Automático"),"40%",IF(AND(T40="Detectivo",U40="Manual"),"30%",IF(AND(T40="Correctivo",U40="Automático"),"35%",IF(AND(T40="Correctivo",U40="Manual"),"25%",""))))))</f>
        <v/>
      </c>
      <c r="W40" s="128"/>
      <c r="X40" s="128"/>
      <c r="Y40" s="128"/>
      <c r="Z40" s="130" t="str">
        <f>IFERROR(IF(AND(S39="Probabilidad",S40="Probabilidad"),(AB39-(+AB39*V40)),IF(S40="Probabilidad",(K39-(+K39*V40)),IF(S40="Impacto",AB39,""))),"")</f>
        <v/>
      </c>
      <c r="AA40" s="131" t="str">
        <f t="shared" si="1"/>
        <v/>
      </c>
      <c r="AB40" s="132" t="str">
        <f t="shared" ref="AB40:AB44" si="35">+Z40</f>
        <v/>
      </c>
      <c r="AC40" s="131" t="str">
        <f t="shared" si="3"/>
        <v/>
      </c>
      <c r="AD40" s="140" t="str">
        <f>IFERROR(IF(AND(S39="Impacto",S40="Impacto"),(AD39-(+AD39*V40)),IF(S40="Impacto",(O39-(+O39*V40)),IF(S40="Probabilidad",AD39,""))),"")</f>
        <v/>
      </c>
      <c r="AE40" s="133" t="str">
        <f t="shared" ref="AE40:AE41" si="36">IFERROR(IF(OR(AND(AA40="Muy Baja",AC40="Leve"),AND(AA40="Muy Baja",AC40="Menor"),AND(AA40="Baja",AC40="Leve")),"Bajo",IF(OR(AND(AA40="Muy baja",AC40="Moderado"),AND(AA40="Baja",AC40="Menor"),AND(AA40="Baja",AC40="Moderado"),AND(AA40="Media",AC40="Leve"),AND(AA40="Media",AC40="Menor"),AND(AA40="Media",AC40="Moderado"),AND(AA40="Alta",AC40="Leve"),AND(AA40="Alta",AC40="Menor")),"Moderado",IF(OR(AND(AA40="Muy Baja",AC40="Mayor"),AND(AA40="Baja",AC40="Mayor"),AND(AA40="Media",AC40="Mayor"),AND(AA40="Alta",AC40="Moderado"),AND(AA40="Alta",AC40="Mayor"),AND(AA40="Muy Alta",AC40="Leve"),AND(AA40="Muy Alta",AC40="Menor"),AND(AA40="Muy Alta",AC40="Moderado"),AND(AA40="Muy Alta",AC40="Mayor")),"Alto",IF(OR(AND(AA40="Muy Baja",AC40="Catastrófico"),AND(AA40="Baja",AC40="Catastrófico"),AND(AA40="Media",AC40="Catastrófico"),AND(AA40="Alta",AC40="Catastrófico"),AND(AA40="Muy Alta",AC40="Catastrófico")),"Extremo","")))),"")</f>
        <v/>
      </c>
      <c r="AF40" s="134"/>
      <c r="AG40" s="135"/>
      <c r="AH40" s="136"/>
      <c r="AI40" s="137"/>
      <c r="AJ40" s="137"/>
      <c r="AK40" s="135"/>
      <c r="AL40" s="136"/>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row>
    <row r="41" spans="1:70" ht="151.5" customHeight="1" x14ac:dyDescent="0.3">
      <c r="A41" s="266"/>
      <c r="B41" s="225"/>
      <c r="C41" s="225"/>
      <c r="D41" s="142"/>
      <c r="E41" s="225"/>
      <c r="F41" s="269"/>
      <c r="G41" s="269"/>
      <c r="H41" s="225"/>
      <c r="I41" s="228"/>
      <c r="J41" s="231"/>
      <c r="K41" s="234"/>
      <c r="L41" s="237"/>
      <c r="M41" s="234">
        <f ca="1">IF(NOT(ISERROR(MATCH(L41,_xlfn.ANCHORARRAY(G52),0))),K54&amp;"Por favor no seleccionar los criterios de impacto",L41)</f>
        <v>0</v>
      </c>
      <c r="N41" s="231"/>
      <c r="O41" s="234"/>
      <c r="P41" s="222"/>
      <c r="Q41" s="125">
        <v>3</v>
      </c>
      <c r="R41" s="138"/>
      <c r="S41" s="127" t="str">
        <f>IF(OR(T41="Preventivo",T41="Detectivo"),"Probabilidad",IF(T41="Correctivo","Impacto",""))</f>
        <v/>
      </c>
      <c r="T41" s="128"/>
      <c r="U41" s="128"/>
      <c r="V41" s="129" t="str">
        <f t="shared" si="34"/>
        <v/>
      </c>
      <c r="W41" s="128"/>
      <c r="X41" s="128"/>
      <c r="Y41" s="128"/>
      <c r="Z41" s="130" t="str">
        <f>IFERROR(IF(AND(S40="Probabilidad",S41="Probabilidad"),(AB40-(+AB40*V41)),IF(AND(S40="Impacto",S41="Probabilidad"),(AB39-(+AB39*V41)),IF(S41="Impacto",AB40,""))),"")</f>
        <v/>
      </c>
      <c r="AA41" s="131" t="str">
        <f t="shared" si="1"/>
        <v/>
      </c>
      <c r="AB41" s="132" t="str">
        <f t="shared" si="35"/>
        <v/>
      </c>
      <c r="AC41" s="131" t="str">
        <f t="shared" si="3"/>
        <v/>
      </c>
      <c r="AD41" s="140" t="str">
        <f>IFERROR(IF(AND(S40="Impacto",S41="Impacto"),(AD40-(+AD40*V41)),IF(AND(S40="Probabilidad",S41="Impacto"),(AD39-(+AD39*V41)),IF(S41="Probabilidad",AD40,""))),"")</f>
        <v/>
      </c>
      <c r="AE41" s="133" t="str">
        <f t="shared" si="36"/>
        <v/>
      </c>
      <c r="AF41" s="134"/>
      <c r="AG41" s="135"/>
      <c r="AH41" s="136"/>
      <c r="AI41" s="137"/>
      <c r="AJ41" s="137"/>
      <c r="AK41" s="135"/>
      <c r="AL41" s="136"/>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row>
    <row r="42" spans="1:70" ht="151.5" customHeight="1" x14ac:dyDescent="0.3">
      <c r="A42" s="266"/>
      <c r="B42" s="225"/>
      <c r="C42" s="225"/>
      <c r="D42" s="142"/>
      <c r="E42" s="225"/>
      <c r="F42" s="269"/>
      <c r="G42" s="269"/>
      <c r="H42" s="225"/>
      <c r="I42" s="228"/>
      <c r="J42" s="231"/>
      <c r="K42" s="234"/>
      <c r="L42" s="237"/>
      <c r="M42" s="234">
        <f ca="1">IF(NOT(ISERROR(MATCH(L42,_xlfn.ANCHORARRAY(G53),0))),K55&amp;"Por favor no seleccionar los criterios de impacto",L42)</f>
        <v>0</v>
      </c>
      <c r="N42" s="231"/>
      <c r="O42" s="234"/>
      <c r="P42" s="222"/>
      <c r="Q42" s="125">
        <v>4</v>
      </c>
      <c r="R42" s="126"/>
      <c r="S42" s="127" t="str">
        <f t="shared" ref="S42:S44" si="37">IF(OR(T42="Preventivo",T42="Detectivo"),"Probabilidad",IF(T42="Correctivo","Impacto",""))</f>
        <v/>
      </c>
      <c r="T42" s="128"/>
      <c r="U42" s="128"/>
      <c r="V42" s="129" t="str">
        <f t="shared" si="34"/>
        <v/>
      </c>
      <c r="W42" s="128"/>
      <c r="X42" s="128"/>
      <c r="Y42" s="128"/>
      <c r="Z42" s="130" t="str">
        <f t="shared" ref="Z42:Z44" si="38">IFERROR(IF(AND(S41="Probabilidad",S42="Probabilidad"),(AB41-(+AB41*V42)),IF(AND(S41="Impacto",S42="Probabilidad"),(AB40-(+AB40*V42)),IF(S42="Impacto",AB41,""))),"")</f>
        <v/>
      </c>
      <c r="AA42" s="131" t="str">
        <f t="shared" si="1"/>
        <v/>
      </c>
      <c r="AB42" s="132" t="str">
        <f t="shared" si="35"/>
        <v/>
      </c>
      <c r="AC42" s="131" t="str">
        <f t="shared" si="3"/>
        <v/>
      </c>
      <c r="AD42" s="140" t="str">
        <f t="shared" ref="AD42:AD44" si="39">IFERROR(IF(AND(S41="Impacto",S42="Impacto"),(AD41-(+AD41*V42)),IF(AND(S41="Probabilidad",S42="Impacto"),(AD40-(+AD40*V42)),IF(S42="Probabilidad",AD41,""))),"")</f>
        <v/>
      </c>
      <c r="AE42" s="133" t="str">
        <f>IFERROR(IF(OR(AND(AA42="Muy Baja",AC42="Leve"),AND(AA42="Muy Baja",AC42="Menor"),AND(AA42="Baja",AC42="Leve")),"Bajo",IF(OR(AND(AA42="Muy baja",AC42="Moderado"),AND(AA42="Baja",AC42="Menor"),AND(AA42="Baja",AC42="Moderado"),AND(AA42="Media",AC42="Leve"),AND(AA42="Media",AC42="Menor"),AND(AA42="Media",AC42="Moderado"),AND(AA42="Alta",AC42="Leve"),AND(AA42="Alta",AC42="Menor")),"Moderado",IF(OR(AND(AA42="Muy Baja",AC42="Mayor"),AND(AA42="Baja",AC42="Mayor"),AND(AA42="Media",AC42="Mayor"),AND(AA42="Alta",AC42="Moderado"),AND(AA42="Alta",AC42="Mayor"),AND(AA42="Muy Alta",AC42="Leve"),AND(AA42="Muy Alta",AC42="Menor"),AND(AA42="Muy Alta",AC42="Moderado"),AND(AA42="Muy Alta",AC42="Mayor")),"Alto",IF(OR(AND(AA42="Muy Baja",AC42="Catastrófico"),AND(AA42="Baja",AC42="Catastrófico"),AND(AA42="Media",AC42="Catastrófico"),AND(AA42="Alta",AC42="Catastrófico"),AND(AA42="Muy Alta",AC42="Catastrófico")),"Extremo","")))),"")</f>
        <v/>
      </c>
      <c r="AF42" s="134"/>
      <c r="AG42" s="135"/>
      <c r="AH42" s="136"/>
      <c r="AI42" s="137"/>
      <c r="AJ42" s="137"/>
      <c r="AK42" s="135"/>
      <c r="AL42" s="136"/>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row>
    <row r="43" spans="1:70" ht="151.5" customHeight="1" x14ac:dyDescent="0.3">
      <c r="A43" s="266"/>
      <c r="B43" s="225"/>
      <c r="C43" s="225"/>
      <c r="D43" s="142"/>
      <c r="E43" s="225"/>
      <c r="F43" s="269"/>
      <c r="G43" s="269"/>
      <c r="H43" s="225"/>
      <c r="I43" s="228"/>
      <c r="J43" s="231"/>
      <c r="K43" s="234"/>
      <c r="L43" s="237"/>
      <c r="M43" s="234">
        <f ca="1">IF(NOT(ISERROR(MATCH(L43,_xlfn.ANCHORARRAY(G54),0))),K56&amp;"Por favor no seleccionar los criterios de impacto",L43)</f>
        <v>0</v>
      </c>
      <c r="N43" s="231"/>
      <c r="O43" s="234"/>
      <c r="P43" s="222"/>
      <c r="Q43" s="125">
        <v>5</v>
      </c>
      <c r="R43" s="126"/>
      <c r="S43" s="127" t="str">
        <f t="shared" si="37"/>
        <v/>
      </c>
      <c r="T43" s="128"/>
      <c r="U43" s="128"/>
      <c r="V43" s="129" t="str">
        <f t="shared" si="34"/>
        <v/>
      </c>
      <c r="W43" s="128"/>
      <c r="X43" s="128"/>
      <c r="Y43" s="128"/>
      <c r="Z43" s="130" t="str">
        <f t="shared" si="38"/>
        <v/>
      </c>
      <c r="AA43" s="131" t="str">
        <f t="shared" si="1"/>
        <v/>
      </c>
      <c r="AB43" s="132" t="str">
        <f t="shared" si="35"/>
        <v/>
      </c>
      <c r="AC43" s="131" t="str">
        <f t="shared" si="3"/>
        <v/>
      </c>
      <c r="AD43" s="140" t="str">
        <f t="shared" si="39"/>
        <v/>
      </c>
      <c r="AE43" s="133" t="str">
        <f t="shared" ref="AE43" si="40">IFERROR(IF(OR(AND(AA43="Muy Baja",AC43="Leve"),AND(AA43="Muy Baja",AC43="Menor"),AND(AA43="Baja",AC43="Leve")),"Bajo",IF(OR(AND(AA43="Muy baja",AC43="Moderado"),AND(AA43="Baja",AC43="Menor"),AND(AA43="Baja",AC43="Moderado"),AND(AA43="Media",AC43="Leve"),AND(AA43="Media",AC43="Menor"),AND(AA43="Media",AC43="Moderado"),AND(AA43="Alta",AC43="Leve"),AND(AA43="Alta",AC43="Menor")),"Moderado",IF(OR(AND(AA43="Muy Baja",AC43="Mayor"),AND(AA43="Baja",AC43="Mayor"),AND(AA43="Media",AC43="Mayor"),AND(AA43="Alta",AC43="Moderado"),AND(AA43="Alta",AC43="Mayor"),AND(AA43="Muy Alta",AC43="Leve"),AND(AA43="Muy Alta",AC43="Menor"),AND(AA43="Muy Alta",AC43="Moderado"),AND(AA43="Muy Alta",AC43="Mayor")),"Alto",IF(OR(AND(AA43="Muy Baja",AC43="Catastrófico"),AND(AA43="Baja",AC43="Catastrófico"),AND(AA43="Media",AC43="Catastrófico"),AND(AA43="Alta",AC43="Catastrófico"),AND(AA43="Muy Alta",AC43="Catastrófico")),"Extremo","")))),"")</f>
        <v/>
      </c>
      <c r="AF43" s="134"/>
      <c r="AG43" s="135"/>
      <c r="AH43" s="136"/>
      <c r="AI43" s="137"/>
      <c r="AJ43" s="137"/>
      <c r="AK43" s="135"/>
      <c r="AL43" s="136"/>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row>
    <row r="44" spans="1:70" ht="151.5" customHeight="1" x14ac:dyDescent="0.3">
      <c r="A44" s="267"/>
      <c r="B44" s="226"/>
      <c r="C44" s="226"/>
      <c r="D44" s="143"/>
      <c r="E44" s="226"/>
      <c r="F44" s="270"/>
      <c r="G44" s="270"/>
      <c r="H44" s="226"/>
      <c r="I44" s="229"/>
      <c r="J44" s="232"/>
      <c r="K44" s="235"/>
      <c r="L44" s="238"/>
      <c r="M44" s="235">
        <f ca="1">IF(NOT(ISERROR(MATCH(L44,_xlfn.ANCHORARRAY(G55),0))),K57&amp;"Por favor no seleccionar los criterios de impacto",L44)</f>
        <v>0</v>
      </c>
      <c r="N44" s="232"/>
      <c r="O44" s="235"/>
      <c r="P44" s="223"/>
      <c r="Q44" s="125">
        <v>6</v>
      </c>
      <c r="R44" s="126"/>
      <c r="S44" s="127" t="str">
        <f t="shared" si="37"/>
        <v/>
      </c>
      <c r="T44" s="128"/>
      <c r="U44" s="128"/>
      <c r="V44" s="129" t="str">
        <f t="shared" si="34"/>
        <v/>
      </c>
      <c r="W44" s="128"/>
      <c r="X44" s="128"/>
      <c r="Y44" s="128"/>
      <c r="Z44" s="130" t="str">
        <f t="shared" si="38"/>
        <v/>
      </c>
      <c r="AA44" s="131" t="str">
        <f t="shared" si="1"/>
        <v/>
      </c>
      <c r="AB44" s="132" t="str">
        <f t="shared" si="35"/>
        <v/>
      </c>
      <c r="AC44" s="131" t="str">
        <f>IFERROR(IF(AD44="","",IF(AD44&lt;=0.2,"Leve",IF(AD44&lt;=0.4,"Menor",IF(AD44&lt;=0.6,"Moderado",IF(AD44&lt;=0.8,"Mayor","Catastrófico"))))),"")</f>
        <v/>
      </c>
      <c r="AD44" s="140" t="str">
        <f t="shared" si="39"/>
        <v/>
      </c>
      <c r="AE44" s="133" t="str">
        <f>IFERROR(IF(OR(AND(AA44="Muy Baja",AC44="Leve"),AND(AA44="Muy Baja",AC44="Menor"),AND(AA44="Baja",AC44="Leve")),"Bajo",IF(OR(AND(AA44="Muy baja",AC44="Moderado"),AND(AA44="Baja",AC44="Menor"),AND(AA44="Baja",AC44="Moderado"),AND(AA44="Media",AC44="Leve"),AND(AA44="Media",AC44="Menor"),AND(AA44="Media",AC44="Moderado"),AND(AA44="Alta",AC44="Leve"),AND(AA44="Alta",AC44="Menor")),"Moderado",IF(OR(AND(AA44="Muy Baja",AC44="Mayor"),AND(AA44="Baja",AC44="Mayor"),AND(AA44="Media",AC44="Mayor"),AND(AA44="Alta",AC44="Moderado"),AND(AA44="Alta",AC44="Mayor"),AND(AA44="Muy Alta",AC44="Leve"),AND(AA44="Muy Alta",AC44="Menor"),AND(AA44="Muy Alta",AC44="Moderado"),AND(AA44="Muy Alta",AC44="Mayor")),"Alto",IF(OR(AND(AA44="Muy Baja",AC44="Catastrófico"),AND(AA44="Baja",AC44="Catastrófico"),AND(AA44="Media",AC44="Catastrófico"),AND(AA44="Alta",AC44="Catastrófico"),AND(AA44="Muy Alta",AC44="Catastrófico")),"Extremo","")))),"")</f>
        <v/>
      </c>
      <c r="AF44" s="134"/>
      <c r="AG44" s="135"/>
      <c r="AH44" s="136"/>
      <c r="AI44" s="137"/>
      <c r="AJ44" s="137"/>
      <c r="AK44" s="135"/>
      <c r="AL44" s="136"/>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row>
    <row r="45" spans="1:70" ht="151.5" customHeight="1" x14ac:dyDescent="0.3">
      <c r="A45" s="265">
        <v>7</v>
      </c>
      <c r="B45" s="224"/>
      <c r="C45" s="224"/>
      <c r="D45" s="141"/>
      <c r="E45" s="224"/>
      <c r="F45" s="268"/>
      <c r="G45" s="268"/>
      <c r="H45" s="224"/>
      <c r="I45" s="227"/>
      <c r="J45" s="230" t="str">
        <f>IF(I45&lt;=0,"",IF(I45&lt;=2,"Muy Baja",IF(I45&lt;=24,"Baja",IF(I45&lt;=500,"Media",IF(I45&lt;=5000,"Alta","Muy Alta")))))</f>
        <v/>
      </c>
      <c r="K45" s="233" t="str">
        <f>IF(J45="","",IF(J45="Muy Baja",0.2,IF(J45="Baja",0.4,IF(J45="Media",0.6,IF(J45="Alta",0.8,IF(J45="Muy Alta",1,))))))</f>
        <v/>
      </c>
      <c r="L45" s="236"/>
      <c r="M45" s="233">
        <f ca="1">IF(NOT(ISERROR(MATCH(L45,'Tabla Impacto'!$B$221:$B$223,0))),'Tabla Impacto'!$F$223&amp;"Por favor no seleccionar los criterios de impacto(Afectación Económica o presupuestal y Pérdida Reputacional)",L45)</f>
        <v>0</v>
      </c>
      <c r="N45" s="230" t="str">
        <f ca="1">IF(OR(M45='Tabla Impacto'!$C$11,M45='Tabla Impacto'!$D$11),"Leve",IF(OR(M45='Tabla Impacto'!$C$12,M45='Tabla Impacto'!$D$12),"Menor",IF(OR(M45='Tabla Impacto'!$C$13,M45='Tabla Impacto'!$D$13),"Moderado",IF(OR(M45='Tabla Impacto'!$C$14,M45='Tabla Impacto'!$D$14),"Mayor",IF(OR(M45='Tabla Impacto'!$C$15,M45='Tabla Impacto'!$D$15),"Catastrófico","")))))</f>
        <v/>
      </c>
      <c r="O45" s="233" t="str">
        <f ca="1">IF(N45="","",IF(N45="Leve",0.2,IF(N45="Menor",0.4,IF(N45="Moderado",0.6,IF(N45="Mayor",0.8,IF(N45="Catastrófico",1,))))))</f>
        <v/>
      </c>
      <c r="P45" s="221" t="str">
        <f ca="1">IF(OR(AND(J45="Muy Baja",N45="Leve"),AND(J45="Muy Baja",N45="Menor"),AND(J45="Baja",N45="Leve")),"Bajo",IF(OR(AND(J45="Muy baja",N45="Moderado"),AND(J45="Baja",N45="Menor"),AND(J45="Baja",N45="Moderado"),AND(J45="Media",N45="Leve"),AND(J45="Media",N45="Menor"),AND(J45="Media",N45="Moderado"),AND(J45="Alta",N45="Leve"),AND(J45="Alta",N45="Menor")),"Moderado",IF(OR(AND(J45="Muy Baja",N45="Mayor"),AND(J45="Baja",N45="Mayor"),AND(J45="Media",N45="Mayor"),AND(J45="Alta",N45="Moderado"),AND(J45="Alta",N45="Mayor"),AND(J45="Muy Alta",N45="Leve"),AND(J45="Muy Alta",N45="Menor"),AND(J45="Muy Alta",N45="Moderado"),AND(J45="Muy Alta",N45="Mayor")),"Alto",IF(OR(AND(J45="Muy Baja",N45="Catastrófico"),AND(J45="Baja",N45="Catastrófico"),AND(J45="Media",N45="Catastrófico"),AND(J45="Alta",N45="Catastrófico"),AND(J45="Muy Alta",N45="Catastrófico")),"Extremo",""))))</f>
        <v/>
      </c>
      <c r="Q45" s="125">
        <v>1</v>
      </c>
      <c r="R45" s="126"/>
      <c r="S45" s="127" t="str">
        <f>IF(OR(T45="Preventivo",T45="Detectivo"),"Probabilidad",IF(T45="Correctivo","Impacto",""))</f>
        <v/>
      </c>
      <c r="T45" s="128"/>
      <c r="U45" s="128"/>
      <c r="V45" s="129" t="str">
        <f>IF(AND(T45="Preventivo",U45="Automático"),"50%",IF(AND(T45="Preventivo",U45="Manual"),"40%",IF(AND(T45="Detectivo",U45="Automático"),"40%",IF(AND(T45="Detectivo",U45="Manual"),"30%",IF(AND(T45="Correctivo",U45="Automático"),"35%",IF(AND(T45="Correctivo",U45="Manual"),"25%",""))))))</f>
        <v/>
      </c>
      <c r="W45" s="128"/>
      <c r="X45" s="128"/>
      <c r="Y45" s="128"/>
      <c r="Z45" s="130" t="str">
        <f>IFERROR(IF(S45="Probabilidad",(K45-(+K45*V45)),IF(S45="Impacto",K45,"")),"")</f>
        <v/>
      </c>
      <c r="AA45" s="131" t="str">
        <f>IFERROR(IF(Z45="","",IF(Z45&lt;=0.2,"Muy Baja",IF(Z45&lt;=0.4,"Baja",IF(Z45&lt;=0.6,"Media",IF(Z45&lt;=0.8,"Alta","Muy Alta"))))),"")</f>
        <v/>
      </c>
      <c r="AB45" s="132" t="str">
        <f>+Z45</f>
        <v/>
      </c>
      <c r="AC45" s="131" t="str">
        <f>IFERROR(IF(AD45="","",IF(AD45&lt;=0.2,"Leve",IF(AD45&lt;=0.4,"Menor",IF(AD45&lt;=0.6,"Moderado",IF(AD45&lt;=0.8,"Mayor","Catastrófico"))))),"")</f>
        <v/>
      </c>
      <c r="AD45" s="140" t="str">
        <f>IFERROR(IF(S45="Impacto",(O45-(+O45*V45)),IF(S45="Probabilidad",O45,"")),"")</f>
        <v/>
      </c>
      <c r="AE45" s="133" t="str">
        <f>IFERROR(IF(OR(AND(AA45="Muy Baja",AC45="Leve"),AND(AA45="Muy Baja",AC45="Menor"),AND(AA45="Baja",AC45="Leve")),"Bajo",IF(OR(AND(AA45="Muy baja",AC45="Moderado"),AND(AA45="Baja",AC45="Menor"),AND(AA45="Baja",AC45="Moderado"),AND(AA45="Media",AC45="Leve"),AND(AA45="Media",AC45="Menor"),AND(AA45="Media",AC45="Moderado"),AND(AA45="Alta",AC45="Leve"),AND(AA45="Alta",AC45="Menor")),"Moderado",IF(OR(AND(AA45="Muy Baja",AC45="Mayor"),AND(AA45="Baja",AC45="Mayor"),AND(AA45="Media",AC45="Mayor"),AND(AA45="Alta",AC45="Moderado"),AND(AA45="Alta",AC45="Mayor"),AND(AA45="Muy Alta",AC45="Leve"),AND(AA45="Muy Alta",AC45="Menor"),AND(AA45="Muy Alta",AC45="Moderado"),AND(AA45="Muy Alta",AC45="Mayor")),"Alto",IF(OR(AND(AA45="Muy Baja",AC45="Catastrófico"),AND(AA45="Baja",AC45="Catastrófico"),AND(AA45="Media",AC45="Catastrófico"),AND(AA45="Alta",AC45="Catastrófico"),AND(AA45="Muy Alta",AC45="Catastrófico")),"Extremo","")))),"")</f>
        <v/>
      </c>
      <c r="AF45" s="134"/>
      <c r="AG45" s="135"/>
      <c r="AH45" s="136"/>
      <c r="AI45" s="137"/>
      <c r="AJ45" s="137"/>
      <c r="AK45" s="135"/>
      <c r="AL45" s="136"/>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row>
    <row r="46" spans="1:70" ht="151.5" customHeight="1" x14ac:dyDescent="0.3">
      <c r="A46" s="266"/>
      <c r="B46" s="225"/>
      <c r="C46" s="225"/>
      <c r="D46" s="142"/>
      <c r="E46" s="225"/>
      <c r="F46" s="269"/>
      <c r="G46" s="269"/>
      <c r="H46" s="225"/>
      <c r="I46" s="228"/>
      <c r="J46" s="231"/>
      <c r="K46" s="234"/>
      <c r="L46" s="237"/>
      <c r="M46" s="234">
        <f ca="1">IF(NOT(ISERROR(MATCH(L46,_xlfn.ANCHORARRAY(G57),0))),K59&amp;"Por favor no seleccionar los criterios de impacto",L46)</f>
        <v>0</v>
      </c>
      <c r="N46" s="231"/>
      <c r="O46" s="234"/>
      <c r="P46" s="222"/>
      <c r="Q46" s="125">
        <v>2</v>
      </c>
      <c r="R46" s="126"/>
      <c r="S46" s="127" t="str">
        <f>IF(OR(T46="Preventivo",T46="Detectivo"),"Probabilidad",IF(T46="Correctivo","Impacto",""))</f>
        <v/>
      </c>
      <c r="T46" s="128"/>
      <c r="U46" s="128"/>
      <c r="V46" s="129" t="str">
        <f t="shared" ref="V46:V50" si="41">IF(AND(T46="Preventivo",U46="Automático"),"50%",IF(AND(T46="Preventivo",U46="Manual"),"40%",IF(AND(T46="Detectivo",U46="Automático"),"40%",IF(AND(T46="Detectivo",U46="Manual"),"30%",IF(AND(T46="Correctivo",U46="Automático"),"35%",IF(AND(T46="Correctivo",U46="Manual"),"25%",""))))))</f>
        <v/>
      </c>
      <c r="W46" s="128"/>
      <c r="X46" s="128"/>
      <c r="Y46" s="128"/>
      <c r="Z46" s="130" t="str">
        <f>IFERROR(IF(AND(S45="Probabilidad",S46="Probabilidad"),(AB45-(+AB45*V46)),IF(S46="Probabilidad",(K45-(+K45*V46)),IF(S46="Impacto",AB45,""))),"")</f>
        <v/>
      </c>
      <c r="AA46" s="131" t="str">
        <f t="shared" si="1"/>
        <v/>
      </c>
      <c r="AB46" s="132" t="str">
        <f t="shared" ref="AB46:AB50" si="42">+Z46</f>
        <v/>
      </c>
      <c r="AC46" s="131" t="str">
        <f t="shared" si="3"/>
        <v/>
      </c>
      <c r="AD46" s="140" t="str">
        <f>IFERROR(IF(AND(S45="Impacto",S46="Impacto"),(AD45-(+AD45*V46)),IF(S46="Impacto",(O45-(+O45*V46)),IF(S46="Probabilidad",AD45,""))),"")</f>
        <v/>
      </c>
      <c r="AE46" s="133" t="str">
        <f t="shared" ref="AE46:AE47" si="43">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
      </c>
      <c r="AF46" s="134"/>
      <c r="AG46" s="135"/>
      <c r="AH46" s="136"/>
      <c r="AI46" s="137"/>
      <c r="AJ46" s="137"/>
      <c r="AK46" s="135"/>
      <c r="AL46" s="136"/>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row>
    <row r="47" spans="1:70" ht="151.5" customHeight="1" x14ac:dyDescent="0.3">
      <c r="A47" s="266"/>
      <c r="B47" s="225"/>
      <c r="C47" s="225"/>
      <c r="D47" s="142"/>
      <c r="E47" s="225"/>
      <c r="F47" s="269"/>
      <c r="G47" s="269"/>
      <c r="H47" s="225"/>
      <c r="I47" s="228"/>
      <c r="J47" s="231"/>
      <c r="K47" s="234"/>
      <c r="L47" s="237"/>
      <c r="M47" s="234">
        <f ca="1">IF(NOT(ISERROR(MATCH(L47,_xlfn.ANCHORARRAY(G58),0))),K60&amp;"Por favor no seleccionar los criterios de impacto",L47)</f>
        <v>0</v>
      </c>
      <c r="N47" s="231"/>
      <c r="O47" s="234"/>
      <c r="P47" s="222"/>
      <c r="Q47" s="125">
        <v>3</v>
      </c>
      <c r="R47" s="138"/>
      <c r="S47" s="127" t="str">
        <f>IF(OR(T47="Preventivo",T47="Detectivo"),"Probabilidad",IF(T47="Correctivo","Impacto",""))</f>
        <v/>
      </c>
      <c r="T47" s="128"/>
      <c r="U47" s="128"/>
      <c r="V47" s="129" t="str">
        <f t="shared" si="41"/>
        <v/>
      </c>
      <c r="W47" s="128"/>
      <c r="X47" s="128"/>
      <c r="Y47" s="128"/>
      <c r="Z47" s="130" t="str">
        <f>IFERROR(IF(AND(S46="Probabilidad",S47="Probabilidad"),(AB46-(+AB46*V47)),IF(AND(S46="Impacto",S47="Probabilidad"),(AB45-(+AB45*V47)),IF(S47="Impacto",AB46,""))),"")</f>
        <v/>
      </c>
      <c r="AA47" s="131" t="str">
        <f t="shared" si="1"/>
        <v/>
      </c>
      <c r="AB47" s="132" t="str">
        <f t="shared" si="42"/>
        <v/>
      </c>
      <c r="AC47" s="131" t="str">
        <f t="shared" si="3"/>
        <v/>
      </c>
      <c r="AD47" s="140" t="str">
        <f>IFERROR(IF(AND(S46="Impacto",S47="Impacto"),(AD46-(+AD46*V47)),IF(AND(S46="Probabilidad",S47="Impacto"),(AD45-(+AD45*V47)),IF(S47="Probabilidad",AD46,""))),"")</f>
        <v/>
      </c>
      <c r="AE47" s="133" t="str">
        <f t="shared" si="43"/>
        <v/>
      </c>
      <c r="AF47" s="134"/>
      <c r="AG47" s="135"/>
      <c r="AH47" s="136"/>
      <c r="AI47" s="137"/>
      <c r="AJ47" s="137"/>
      <c r="AK47" s="135"/>
      <c r="AL47" s="136"/>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row>
    <row r="48" spans="1:70" ht="151.5" customHeight="1" x14ac:dyDescent="0.3">
      <c r="A48" s="266"/>
      <c r="B48" s="225"/>
      <c r="C48" s="225"/>
      <c r="D48" s="142"/>
      <c r="E48" s="225"/>
      <c r="F48" s="269"/>
      <c r="G48" s="269"/>
      <c r="H48" s="225"/>
      <c r="I48" s="228"/>
      <c r="J48" s="231"/>
      <c r="K48" s="234"/>
      <c r="L48" s="237"/>
      <c r="M48" s="234">
        <f ca="1">IF(NOT(ISERROR(MATCH(L48,_xlfn.ANCHORARRAY(G59),0))),K61&amp;"Por favor no seleccionar los criterios de impacto",L48)</f>
        <v>0</v>
      </c>
      <c r="N48" s="231"/>
      <c r="O48" s="234"/>
      <c r="P48" s="222"/>
      <c r="Q48" s="125">
        <v>4</v>
      </c>
      <c r="R48" s="126"/>
      <c r="S48" s="127" t="str">
        <f t="shared" ref="S48:S50" si="44">IF(OR(T48="Preventivo",T48="Detectivo"),"Probabilidad",IF(T48="Correctivo","Impacto",""))</f>
        <v/>
      </c>
      <c r="T48" s="128"/>
      <c r="U48" s="128"/>
      <c r="V48" s="129" t="str">
        <f t="shared" si="41"/>
        <v/>
      </c>
      <c r="W48" s="128"/>
      <c r="X48" s="128"/>
      <c r="Y48" s="128"/>
      <c r="Z48" s="130" t="str">
        <f t="shared" ref="Z48:Z50" si="45">IFERROR(IF(AND(S47="Probabilidad",S48="Probabilidad"),(AB47-(+AB47*V48)),IF(AND(S47="Impacto",S48="Probabilidad"),(AB46-(+AB46*V48)),IF(S48="Impacto",AB47,""))),"")</f>
        <v/>
      </c>
      <c r="AA48" s="131" t="str">
        <f t="shared" si="1"/>
        <v/>
      </c>
      <c r="AB48" s="132" t="str">
        <f t="shared" si="42"/>
        <v/>
      </c>
      <c r="AC48" s="131" t="str">
        <f t="shared" si="3"/>
        <v/>
      </c>
      <c r="AD48" s="140" t="str">
        <f t="shared" ref="AD48:AD50" si="46">IFERROR(IF(AND(S47="Impacto",S48="Impacto"),(AD47-(+AD47*V48)),IF(AND(S47="Probabilidad",S48="Impacto"),(AD46-(+AD46*V48)),IF(S48="Probabilidad",AD47,""))),"")</f>
        <v/>
      </c>
      <c r="AE48" s="133" t="str">
        <f>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
      </c>
      <c r="AF48" s="134"/>
      <c r="AG48" s="135"/>
      <c r="AH48" s="136"/>
      <c r="AI48" s="137"/>
      <c r="AJ48" s="137"/>
      <c r="AK48" s="135"/>
      <c r="AL48" s="136"/>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row>
    <row r="49" spans="1:70" ht="151.5" customHeight="1" x14ac:dyDescent="0.3">
      <c r="A49" s="266"/>
      <c r="B49" s="225"/>
      <c r="C49" s="225"/>
      <c r="D49" s="142"/>
      <c r="E49" s="225"/>
      <c r="F49" s="269"/>
      <c r="G49" s="269"/>
      <c r="H49" s="225"/>
      <c r="I49" s="228"/>
      <c r="J49" s="231"/>
      <c r="K49" s="234"/>
      <c r="L49" s="237"/>
      <c r="M49" s="234">
        <f ca="1">IF(NOT(ISERROR(MATCH(L49,_xlfn.ANCHORARRAY(G60),0))),K62&amp;"Por favor no seleccionar los criterios de impacto",L49)</f>
        <v>0</v>
      </c>
      <c r="N49" s="231"/>
      <c r="O49" s="234"/>
      <c r="P49" s="222"/>
      <c r="Q49" s="125">
        <v>5</v>
      </c>
      <c r="R49" s="126"/>
      <c r="S49" s="127" t="str">
        <f t="shared" si="44"/>
        <v/>
      </c>
      <c r="T49" s="128"/>
      <c r="U49" s="128"/>
      <c r="V49" s="129" t="str">
        <f t="shared" si="41"/>
        <v/>
      </c>
      <c r="W49" s="128"/>
      <c r="X49" s="128"/>
      <c r="Y49" s="128"/>
      <c r="Z49" s="130" t="str">
        <f t="shared" si="45"/>
        <v/>
      </c>
      <c r="AA49" s="131" t="str">
        <f t="shared" si="1"/>
        <v/>
      </c>
      <c r="AB49" s="132" t="str">
        <f t="shared" si="42"/>
        <v/>
      </c>
      <c r="AC49" s="131" t="str">
        <f t="shared" si="3"/>
        <v/>
      </c>
      <c r="AD49" s="140" t="str">
        <f t="shared" si="46"/>
        <v/>
      </c>
      <c r="AE49" s="133" t="str">
        <f t="shared" ref="AE49:AE50" si="47">IFERROR(IF(OR(AND(AA49="Muy Baja",AC49="Leve"),AND(AA49="Muy Baja",AC49="Menor"),AND(AA49="Baja",AC49="Leve")),"Bajo",IF(OR(AND(AA49="Muy baja",AC49="Moderado"),AND(AA49="Baja",AC49="Menor"),AND(AA49="Baja",AC49="Moderado"),AND(AA49="Media",AC49="Leve"),AND(AA49="Media",AC49="Menor"),AND(AA49="Media",AC49="Moderado"),AND(AA49="Alta",AC49="Leve"),AND(AA49="Alta",AC49="Menor")),"Moderado",IF(OR(AND(AA49="Muy Baja",AC49="Mayor"),AND(AA49="Baja",AC49="Mayor"),AND(AA49="Media",AC49="Mayor"),AND(AA49="Alta",AC49="Moderado"),AND(AA49="Alta",AC49="Mayor"),AND(AA49="Muy Alta",AC49="Leve"),AND(AA49="Muy Alta",AC49="Menor"),AND(AA49="Muy Alta",AC49="Moderado"),AND(AA49="Muy Alta",AC49="Mayor")),"Alto",IF(OR(AND(AA49="Muy Baja",AC49="Catastrófico"),AND(AA49="Baja",AC49="Catastrófico"),AND(AA49="Media",AC49="Catastrófico"),AND(AA49="Alta",AC49="Catastrófico"),AND(AA49="Muy Alta",AC49="Catastrófico")),"Extremo","")))),"")</f>
        <v/>
      </c>
      <c r="AF49" s="134"/>
      <c r="AG49" s="135"/>
      <c r="AH49" s="136"/>
      <c r="AI49" s="137"/>
      <c r="AJ49" s="137"/>
      <c r="AK49" s="135"/>
      <c r="AL49" s="136"/>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row>
    <row r="50" spans="1:70" ht="151.5" customHeight="1" x14ac:dyDescent="0.3">
      <c r="A50" s="267"/>
      <c r="B50" s="226"/>
      <c r="C50" s="226"/>
      <c r="D50" s="143"/>
      <c r="E50" s="226"/>
      <c r="F50" s="270"/>
      <c r="G50" s="270"/>
      <c r="H50" s="226"/>
      <c r="I50" s="229"/>
      <c r="J50" s="232"/>
      <c r="K50" s="235"/>
      <c r="L50" s="238"/>
      <c r="M50" s="235">
        <f ca="1">IF(NOT(ISERROR(MATCH(L50,_xlfn.ANCHORARRAY(G61),0))),K63&amp;"Por favor no seleccionar los criterios de impacto",L50)</f>
        <v>0</v>
      </c>
      <c r="N50" s="232"/>
      <c r="O50" s="235"/>
      <c r="P50" s="223"/>
      <c r="Q50" s="125">
        <v>6</v>
      </c>
      <c r="R50" s="126"/>
      <c r="S50" s="127" t="str">
        <f t="shared" si="44"/>
        <v/>
      </c>
      <c r="T50" s="128"/>
      <c r="U50" s="128"/>
      <c r="V50" s="129" t="str">
        <f t="shared" si="41"/>
        <v/>
      </c>
      <c r="W50" s="128"/>
      <c r="X50" s="128"/>
      <c r="Y50" s="128"/>
      <c r="Z50" s="130" t="str">
        <f t="shared" si="45"/>
        <v/>
      </c>
      <c r="AA50" s="131" t="str">
        <f t="shared" si="1"/>
        <v/>
      </c>
      <c r="AB50" s="132" t="str">
        <f t="shared" si="42"/>
        <v/>
      </c>
      <c r="AC50" s="131" t="str">
        <f t="shared" si="3"/>
        <v/>
      </c>
      <c r="AD50" s="140" t="str">
        <f t="shared" si="46"/>
        <v/>
      </c>
      <c r="AE50" s="133" t="str">
        <f t="shared" si="47"/>
        <v/>
      </c>
      <c r="AF50" s="134"/>
      <c r="AG50" s="135"/>
      <c r="AH50" s="136"/>
      <c r="AI50" s="137"/>
      <c r="AJ50" s="137"/>
      <c r="AK50" s="135"/>
      <c r="AL50" s="136"/>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row>
    <row r="51" spans="1:70" ht="151.5" customHeight="1" x14ac:dyDescent="0.3">
      <c r="A51" s="265">
        <v>8</v>
      </c>
      <c r="B51" s="224"/>
      <c r="C51" s="224"/>
      <c r="D51" s="141"/>
      <c r="E51" s="224"/>
      <c r="F51" s="268"/>
      <c r="G51" s="268"/>
      <c r="H51" s="224"/>
      <c r="I51" s="227"/>
      <c r="J51" s="230" t="str">
        <f>IF(I51&lt;=0,"",IF(I51&lt;=2,"Muy Baja",IF(I51&lt;=24,"Baja",IF(I51&lt;=500,"Media",IF(I51&lt;=5000,"Alta","Muy Alta")))))</f>
        <v/>
      </c>
      <c r="K51" s="233" t="str">
        <f>IF(J51="","",IF(J51="Muy Baja",0.2,IF(J51="Baja",0.4,IF(J51="Media",0.6,IF(J51="Alta",0.8,IF(J51="Muy Alta",1,))))))</f>
        <v/>
      </c>
      <c r="L51" s="236"/>
      <c r="M51" s="233">
        <f ca="1">IF(NOT(ISERROR(MATCH(L51,'Tabla Impacto'!$B$221:$B$223,0))),'Tabla Impacto'!$F$223&amp;"Por favor no seleccionar los criterios de impacto(Afectación Económica o presupuestal y Pérdida Reputacional)",L51)</f>
        <v>0</v>
      </c>
      <c r="N51" s="230" t="str">
        <f ca="1">IF(OR(M51='Tabla Impacto'!$C$11,M51='Tabla Impacto'!$D$11),"Leve",IF(OR(M51='Tabla Impacto'!$C$12,M51='Tabla Impacto'!$D$12),"Menor",IF(OR(M51='Tabla Impacto'!$C$13,M51='Tabla Impacto'!$D$13),"Moderado",IF(OR(M51='Tabla Impacto'!$C$14,M51='Tabla Impacto'!$D$14),"Mayor",IF(OR(M51='Tabla Impacto'!$C$15,M51='Tabla Impacto'!$D$15),"Catastrófico","")))))</f>
        <v/>
      </c>
      <c r="O51" s="233" t="str">
        <f ca="1">IF(N51="","",IF(N51="Leve",0.2,IF(N51="Menor",0.4,IF(N51="Moderado",0.6,IF(N51="Mayor",0.8,IF(N51="Catastrófico",1,))))))</f>
        <v/>
      </c>
      <c r="P51" s="221" t="str">
        <f ca="1">IF(OR(AND(J51="Muy Baja",N51="Leve"),AND(J51="Muy Baja",N51="Menor"),AND(J51="Baja",N51="Leve")),"Bajo",IF(OR(AND(J51="Muy baja",N51="Moderado"),AND(J51="Baja",N51="Menor"),AND(J51="Baja",N51="Moderado"),AND(J51="Media",N51="Leve"),AND(J51="Media",N51="Menor"),AND(J51="Media",N51="Moderado"),AND(J51="Alta",N51="Leve"),AND(J51="Alta",N51="Menor")),"Moderado",IF(OR(AND(J51="Muy Baja",N51="Mayor"),AND(J51="Baja",N51="Mayor"),AND(J51="Media",N51="Mayor"),AND(J51="Alta",N51="Moderado"),AND(J51="Alta",N51="Mayor"),AND(J51="Muy Alta",N51="Leve"),AND(J51="Muy Alta",N51="Menor"),AND(J51="Muy Alta",N51="Moderado"),AND(J51="Muy Alta",N51="Mayor")),"Alto",IF(OR(AND(J51="Muy Baja",N51="Catastrófico"),AND(J51="Baja",N51="Catastrófico"),AND(J51="Media",N51="Catastrófico"),AND(J51="Alta",N51="Catastrófico"),AND(J51="Muy Alta",N51="Catastrófico")),"Extremo",""))))</f>
        <v/>
      </c>
      <c r="Q51" s="125">
        <v>1</v>
      </c>
      <c r="R51" s="126"/>
      <c r="S51" s="127" t="str">
        <f>IF(OR(T51="Preventivo",T51="Detectivo"),"Probabilidad",IF(T51="Correctivo","Impacto",""))</f>
        <v/>
      </c>
      <c r="T51" s="128"/>
      <c r="U51" s="128"/>
      <c r="V51" s="129" t="str">
        <f>IF(AND(T51="Preventivo",U51="Automático"),"50%",IF(AND(T51="Preventivo",U51="Manual"),"40%",IF(AND(T51="Detectivo",U51="Automático"),"40%",IF(AND(T51="Detectivo",U51="Manual"),"30%",IF(AND(T51="Correctivo",U51="Automático"),"35%",IF(AND(T51="Correctivo",U51="Manual"),"25%",""))))))</f>
        <v/>
      </c>
      <c r="W51" s="128"/>
      <c r="X51" s="128"/>
      <c r="Y51" s="128"/>
      <c r="Z51" s="130" t="str">
        <f>IFERROR(IF(S51="Probabilidad",(K51-(+K51*V51)),IF(S51="Impacto",K51,"")),"")</f>
        <v/>
      </c>
      <c r="AA51" s="131" t="str">
        <f>IFERROR(IF(Z51="","",IF(Z51&lt;=0.2,"Muy Baja",IF(Z51&lt;=0.4,"Baja",IF(Z51&lt;=0.6,"Media",IF(Z51&lt;=0.8,"Alta","Muy Alta"))))),"")</f>
        <v/>
      </c>
      <c r="AB51" s="132" t="str">
        <f>+Z51</f>
        <v/>
      </c>
      <c r="AC51" s="131" t="str">
        <f>IFERROR(IF(AD51="","",IF(AD51&lt;=0.2,"Leve",IF(AD51&lt;=0.4,"Menor",IF(AD51&lt;=0.6,"Moderado",IF(AD51&lt;=0.8,"Mayor","Catastrófico"))))),"")</f>
        <v/>
      </c>
      <c r="AD51" s="140" t="str">
        <f>IFERROR(IF(S51="Impacto",(O51-(+O51*V51)),IF(S51="Probabilidad",O51,"")),"")</f>
        <v/>
      </c>
      <c r="AE51" s="133" t="str">
        <f>IFERROR(IF(OR(AND(AA51="Muy Baja",AC51="Leve"),AND(AA51="Muy Baja",AC51="Menor"),AND(AA51="Baja",AC51="Leve")),"Bajo",IF(OR(AND(AA51="Muy baja",AC51="Moderado"),AND(AA51="Baja",AC51="Menor"),AND(AA51="Baja",AC51="Moderado"),AND(AA51="Media",AC51="Leve"),AND(AA51="Media",AC51="Menor"),AND(AA51="Media",AC51="Moderado"),AND(AA51="Alta",AC51="Leve"),AND(AA51="Alta",AC51="Menor")),"Moderado",IF(OR(AND(AA51="Muy Baja",AC51="Mayor"),AND(AA51="Baja",AC51="Mayor"),AND(AA51="Media",AC51="Mayor"),AND(AA51="Alta",AC51="Moderado"),AND(AA51="Alta",AC51="Mayor"),AND(AA51="Muy Alta",AC51="Leve"),AND(AA51="Muy Alta",AC51="Menor"),AND(AA51="Muy Alta",AC51="Moderado"),AND(AA51="Muy Alta",AC51="Mayor")),"Alto",IF(OR(AND(AA51="Muy Baja",AC51="Catastrófico"),AND(AA51="Baja",AC51="Catastrófico"),AND(AA51="Media",AC51="Catastrófico"),AND(AA51="Alta",AC51="Catastrófico"),AND(AA51="Muy Alta",AC51="Catastrófico")),"Extremo","")))),"")</f>
        <v/>
      </c>
      <c r="AF51" s="134"/>
      <c r="AG51" s="135"/>
      <c r="AH51" s="136"/>
      <c r="AI51" s="137"/>
      <c r="AJ51" s="137"/>
      <c r="AK51" s="135"/>
      <c r="AL51" s="136"/>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row>
    <row r="52" spans="1:70" ht="151.5" customHeight="1" x14ac:dyDescent="0.3">
      <c r="A52" s="266"/>
      <c r="B52" s="225"/>
      <c r="C52" s="225"/>
      <c r="D52" s="142"/>
      <c r="E52" s="225"/>
      <c r="F52" s="269"/>
      <c r="G52" s="269"/>
      <c r="H52" s="225"/>
      <c r="I52" s="228"/>
      <c r="J52" s="231"/>
      <c r="K52" s="234"/>
      <c r="L52" s="237"/>
      <c r="M52" s="234">
        <f ca="1">IF(NOT(ISERROR(MATCH(L52,_xlfn.ANCHORARRAY(G63),0))),K65&amp;"Por favor no seleccionar los criterios de impacto",L52)</f>
        <v>0</v>
      </c>
      <c r="N52" s="231"/>
      <c r="O52" s="234"/>
      <c r="P52" s="222"/>
      <c r="Q52" s="125">
        <v>2</v>
      </c>
      <c r="R52" s="126"/>
      <c r="S52" s="127" t="str">
        <f>IF(OR(T52="Preventivo",T52="Detectivo"),"Probabilidad",IF(T52="Correctivo","Impacto",""))</f>
        <v/>
      </c>
      <c r="T52" s="128"/>
      <c r="U52" s="128"/>
      <c r="V52" s="129" t="str">
        <f t="shared" ref="V52:V56" si="48">IF(AND(T52="Preventivo",U52="Automático"),"50%",IF(AND(T52="Preventivo",U52="Manual"),"40%",IF(AND(T52="Detectivo",U52="Automático"),"40%",IF(AND(T52="Detectivo",U52="Manual"),"30%",IF(AND(T52="Correctivo",U52="Automático"),"35%",IF(AND(T52="Correctivo",U52="Manual"),"25%",""))))))</f>
        <v/>
      </c>
      <c r="W52" s="128"/>
      <c r="X52" s="128"/>
      <c r="Y52" s="128"/>
      <c r="Z52" s="130" t="str">
        <f>IFERROR(IF(AND(S51="Probabilidad",S52="Probabilidad"),(AB51-(+AB51*V52)),IF(S52="Probabilidad",(K51-(+K51*V52)),IF(S52="Impacto",AB51,""))),"")</f>
        <v/>
      </c>
      <c r="AA52" s="131" t="str">
        <f t="shared" si="1"/>
        <v/>
      </c>
      <c r="AB52" s="132" t="str">
        <f t="shared" ref="AB52:AB56" si="49">+Z52</f>
        <v/>
      </c>
      <c r="AC52" s="131" t="str">
        <f t="shared" si="3"/>
        <v/>
      </c>
      <c r="AD52" s="140" t="str">
        <f>IFERROR(IF(AND(S51="Impacto",S52="Impacto"),(AD51-(+AD51*V52)),IF(S52="Impacto",(O51-(+O51*V52)),IF(S52="Probabilidad",AD51,""))),"")</f>
        <v/>
      </c>
      <c r="AE52" s="133" t="str">
        <f t="shared" ref="AE52:AE53" si="50">IFERROR(IF(OR(AND(AA52="Muy Baja",AC52="Leve"),AND(AA52="Muy Baja",AC52="Menor"),AND(AA52="Baja",AC52="Leve")),"Bajo",IF(OR(AND(AA52="Muy baja",AC52="Moderado"),AND(AA52="Baja",AC52="Menor"),AND(AA52="Baja",AC52="Moderado"),AND(AA52="Media",AC52="Leve"),AND(AA52="Media",AC52="Menor"),AND(AA52="Media",AC52="Moderado"),AND(AA52="Alta",AC52="Leve"),AND(AA52="Alta",AC52="Menor")),"Moderado",IF(OR(AND(AA52="Muy Baja",AC52="Mayor"),AND(AA52="Baja",AC52="Mayor"),AND(AA52="Media",AC52="Mayor"),AND(AA52="Alta",AC52="Moderado"),AND(AA52="Alta",AC52="Mayor"),AND(AA52="Muy Alta",AC52="Leve"),AND(AA52="Muy Alta",AC52="Menor"),AND(AA52="Muy Alta",AC52="Moderado"),AND(AA52="Muy Alta",AC52="Mayor")),"Alto",IF(OR(AND(AA52="Muy Baja",AC52="Catastrófico"),AND(AA52="Baja",AC52="Catastrófico"),AND(AA52="Media",AC52="Catastrófico"),AND(AA52="Alta",AC52="Catastrófico"),AND(AA52="Muy Alta",AC52="Catastrófico")),"Extremo","")))),"")</f>
        <v/>
      </c>
      <c r="AF52" s="134"/>
      <c r="AG52" s="135"/>
      <c r="AH52" s="136"/>
      <c r="AI52" s="137"/>
      <c r="AJ52" s="137"/>
      <c r="AK52" s="135"/>
      <c r="AL52" s="136"/>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row>
    <row r="53" spans="1:70" ht="151.5" customHeight="1" x14ac:dyDescent="0.3">
      <c r="A53" s="266"/>
      <c r="B53" s="225"/>
      <c r="C53" s="225"/>
      <c r="D53" s="142"/>
      <c r="E53" s="225"/>
      <c r="F53" s="269"/>
      <c r="G53" s="269"/>
      <c r="H53" s="225"/>
      <c r="I53" s="228"/>
      <c r="J53" s="231"/>
      <c r="K53" s="234"/>
      <c r="L53" s="237"/>
      <c r="M53" s="234">
        <f ca="1">IF(NOT(ISERROR(MATCH(L53,_xlfn.ANCHORARRAY(G64),0))),K66&amp;"Por favor no seleccionar los criterios de impacto",L53)</f>
        <v>0</v>
      </c>
      <c r="N53" s="231"/>
      <c r="O53" s="234"/>
      <c r="P53" s="222"/>
      <c r="Q53" s="125">
        <v>3</v>
      </c>
      <c r="R53" s="138"/>
      <c r="S53" s="127" t="str">
        <f>IF(OR(T53="Preventivo",T53="Detectivo"),"Probabilidad",IF(T53="Correctivo","Impacto",""))</f>
        <v/>
      </c>
      <c r="T53" s="128"/>
      <c r="U53" s="128"/>
      <c r="V53" s="129" t="str">
        <f t="shared" si="48"/>
        <v/>
      </c>
      <c r="W53" s="128"/>
      <c r="X53" s="128"/>
      <c r="Y53" s="128"/>
      <c r="Z53" s="130" t="str">
        <f>IFERROR(IF(AND(S52="Probabilidad",S53="Probabilidad"),(AB52-(+AB52*V53)),IF(AND(S52="Impacto",S53="Probabilidad"),(AB51-(+AB51*V53)),IF(S53="Impacto",AB52,""))),"")</f>
        <v/>
      </c>
      <c r="AA53" s="131" t="str">
        <f t="shared" si="1"/>
        <v/>
      </c>
      <c r="AB53" s="132" t="str">
        <f t="shared" si="49"/>
        <v/>
      </c>
      <c r="AC53" s="131" t="str">
        <f t="shared" si="3"/>
        <v/>
      </c>
      <c r="AD53" s="140" t="str">
        <f>IFERROR(IF(AND(S52="Impacto",S53="Impacto"),(AD52-(+AD52*V53)),IF(AND(S52="Probabilidad",S53="Impacto"),(AD51-(+AD51*V53)),IF(S53="Probabilidad",AD52,""))),"")</f>
        <v/>
      </c>
      <c r="AE53" s="133" t="str">
        <f t="shared" si="50"/>
        <v/>
      </c>
      <c r="AF53" s="134"/>
      <c r="AG53" s="135"/>
      <c r="AH53" s="136"/>
      <c r="AI53" s="137"/>
      <c r="AJ53" s="137"/>
      <c r="AK53" s="135"/>
      <c r="AL53" s="136"/>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row>
    <row r="54" spans="1:70" ht="151.5" customHeight="1" x14ac:dyDescent="0.3">
      <c r="A54" s="266"/>
      <c r="B54" s="225"/>
      <c r="C54" s="225"/>
      <c r="D54" s="142"/>
      <c r="E54" s="225"/>
      <c r="F54" s="269"/>
      <c r="G54" s="269"/>
      <c r="H54" s="225"/>
      <c r="I54" s="228"/>
      <c r="J54" s="231"/>
      <c r="K54" s="234"/>
      <c r="L54" s="237"/>
      <c r="M54" s="234">
        <f ca="1">IF(NOT(ISERROR(MATCH(L54,_xlfn.ANCHORARRAY(G65),0))),K67&amp;"Por favor no seleccionar los criterios de impacto",L54)</f>
        <v>0</v>
      </c>
      <c r="N54" s="231"/>
      <c r="O54" s="234"/>
      <c r="P54" s="222"/>
      <c r="Q54" s="125">
        <v>4</v>
      </c>
      <c r="R54" s="126"/>
      <c r="S54" s="127" t="str">
        <f t="shared" ref="S54:S56" si="51">IF(OR(T54="Preventivo",T54="Detectivo"),"Probabilidad",IF(T54="Correctivo","Impacto",""))</f>
        <v/>
      </c>
      <c r="T54" s="128"/>
      <c r="U54" s="128"/>
      <c r="V54" s="129" t="str">
        <f t="shared" si="48"/>
        <v/>
      </c>
      <c r="W54" s="128"/>
      <c r="X54" s="128"/>
      <c r="Y54" s="128"/>
      <c r="Z54" s="130" t="str">
        <f t="shared" ref="Z54:Z56" si="52">IFERROR(IF(AND(S53="Probabilidad",S54="Probabilidad"),(AB53-(+AB53*V54)),IF(AND(S53="Impacto",S54="Probabilidad"),(AB52-(+AB52*V54)),IF(S54="Impacto",AB53,""))),"")</f>
        <v/>
      </c>
      <c r="AA54" s="131" t="str">
        <f t="shared" si="1"/>
        <v/>
      </c>
      <c r="AB54" s="132" t="str">
        <f t="shared" si="49"/>
        <v/>
      </c>
      <c r="AC54" s="131" t="str">
        <f t="shared" si="3"/>
        <v/>
      </c>
      <c r="AD54" s="140" t="str">
        <f t="shared" ref="AD54:AD56" si="53">IFERROR(IF(AND(S53="Impacto",S54="Impacto"),(AD53-(+AD53*V54)),IF(AND(S53="Probabilidad",S54="Impacto"),(AD52-(+AD52*V54)),IF(S54="Probabilidad",AD53,""))),"")</f>
        <v/>
      </c>
      <c r="AE54" s="133" t="str">
        <f>IFERROR(IF(OR(AND(AA54="Muy Baja",AC54="Leve"),AND(AA54="Muy Baja",AC54="Menor"),AND(AA54="Baja",AC54="Leve")),"Bajo",IF(OR(AND(AA54="Muy baja",AC54="Moderado"),AND(AA54="Baja",AC54="Menor"),AND(AA54="Baja",AC54="Moderado"),AND(AA54="Media",AC54="Leve"),AND(AA54="Media",AC54="Menor"),AND(AA54="Media",AC54="Moderado"),AND(AA54="Alta",AC54="Leve"),AND(AA54="Alta",AC54="Menor")),"Moderado",IF(OR(AND(AA54="Muy Baja",AC54="Mayor"),AND(AA54="Baja",AC54="Mayor"),AND(AA54="Media",AC54="Mayor"),AND(AA54="Alta",AC54="Moderado"),AND(AA54="Alta",AC54="Mayor"),AND(AA54="Muy Alta",AC54="Leve"),AND(AA54="Muy Alta",AC54="Menor"),AND(AA54="Muy Alta",AC54="Moderado"),AND(AA54="Muy Alta",AC54="Mayor")),"Alto",IF(OR(AND(AA54="Muy Baja",AC54="Catastrófico"),AND(AA54="Baja",AC54="Catastrófico"),AND(AA54="Media",AC54="Catastrófico"),AND(AA54="Alta",AC54="Catastrófico"),AND(AA54="Muy Alta",AC54="Catastrófico")),"Extremo","")))),"")</f>
        <v/>
      </c>
      <c r="AF54" s="134"/>
      <c r="AG54" s="135"/>
      <c r="AH54" s="136"/>
      <c r="AI54" s="137"/>
      <c r="AJ54" s="137"/>
      <c r="AK54" s="135"/>
      <c r="AL54" s="136"/>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row>
    <row r="55" spans="1:70" ht="151.5" customHeight="1" x14ac:dyDescent="0.3">
      <c r="A55" s="266"/>
      <c r="B55" s="225"/>
      <c r="C55" s="225"/>
      <c r="D55" s="142"/>
      <c r="E55" s="225"/>
      <c r="F55" s="269"/>
      <c r="G55" s="269"/>
      <c r="H55" s="225"/>
      <c r="I55" s="228"/>
      <c r="J55" s="231"/>
      <c r="K55" s="234"/>
      <c r="L55" s="237"/>
      <c r="M55" s="234">
        <f ca="1">IF(NOT(ISERROR(MATCH(L55,_xlfn.ANCHORARRAY(G66),0))),K68&amp;"Por favor no seleccionar los criterios de impacto",L55)</f>
        <v>0</v>
      </c>
      <c r="N55" s="231"/>
      <c r="O55" s="234"/>
      <c r="P55" s="222"/>
      <c r="Q55" s="125">
        <v>5</v>
      </c>
      <c r="R55" s="126"/>
      <c r="S55" s="127" t="str">
        <f t="shared" si="51"/>
        <v/>
      </c>
      <c r="T55" s="128"/>
      <c r="U55" s="128"/>
      <c r="V55" s="129" t="str">
        <f t="shared" si="48"/>
        <v/>
      </c>
      <c r="W55" s="128"/>
      <c r="X55" s="128"/>
      <c r="Y55" s="128"/>
      <c r="Z55" s="130" t="str">
        <f t="shared" si="52"/>
        <v/>
      </c>
      <c r="AA55" s="131" t="str">
        <f t="shared" si="1"/>
        <v/>
      </c>
      <c r="AB55" s="132" t="str">
        <f t="shared" si="49"/>
        <v/>
      </c>
      <c r="AC55" s="131" t="str">
        <f t="shared" si="3"/>
        <v/>
      </c>
      <c r="AD55" s="140" t="str">
        <f t="shared" si="53"/>
        <v/>
      </c>
      <c r="AE55" s="133" t="str">
        <f t="shared" ref="AE55:AE56" si="54">IFERROR(IF(OR(AND(AA55="Muy Baja",AC55="Leve"),AND(AA55="Muy Baja",AC55="Menor"),AND(AA55="Baja",AC55="Leve")),"Bajo",IF(OR(AND(AA55="Muy baja",AC55="Moderado"),AND(AA55="Baja",AC55="Menor"),AND(AA55="Baja",AC55="Moderado"),AND(AA55="Media",AC55="Leve"),AND(AA55="Media",AC55="Menor"),AND(AA55="Media",AC55="Moderado"),AND(AA55="Alta",AC55="Leve"),AND(AA55="Alta",AC55="Menor")),"Moderado",IF(OR(AND(AA55="Muy Baja",AC55="Mayor"),AND(AA55="Baja",AC55="Mayor"),AND(AA55="Media",AC55="Mayor"),AND(AA55="Alta",AC55="Moderado"),AND(AA55="Alta",AC55="Mayor"),AND(AA55="Muy Alta",AC55="Leve"),AND(AA55="Muy Alta",AC55="Menor"),AND(AA55="Muy Alta",AC55="Moderado"),AND(AA55="Muy Alta",AC55="Mayor")),"Alto",IF(OR(AND(AA55="Muy Baja",AC55="Catastrófico"),AND(AA55="Baja",AC55="Catastrófico"),AND(AA55="Media",AC55="Catastrófico"),AND(AA55="Alta",AC55="Catastrófico"),AND(AA55="Muy Alta",AC55="Catastrófico")),"Extremo","")))),"")</f>
        <v/>
      </c>
      <c r="AF55" s="134"/>
      <c r="AG55" s="135"/>
      <c r="AH55" s="136"/>
      <c r="AI55" s="137"/>
      <c r="AJ55" s="137"/>
      <c r="AK55" s="135"/>
      <c r="AL55" s="136"/>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row>
    <row r="56" spans="1:70" ht="151.5" customHeight="1" x14ac:dyDescent="0.3">
      <c r="A56" s="267"/>
      <c r="B56" s="226"/>
      <c r="C56" s="226"/>
      <c r="D56" s="143"/>
      <c r="E56" s="226"/>
      <c r="F56" s="270"/>
      <c r="G56" s="270"/>
      <c r="H56" s="226"/>
      <c r="I56" s="229"/>
      <c r="J56" s="232"/>
      <c r="K56" s="235"/>
      <c r="L56" s="238"/>
      <c r="M56" s="235">
        <f ca="1">IF(NOT(ISERROR(MATCH(L56,_xlfn.ANCHORARRAY(G67),0))),K69&amp;"Por favor no seleccionar los criterios de impacto",L56)</f>
        <v>0</v>
      </c>
      <c r="N56" s="232"/>
      <c r="O56" s="235"/>
      <c r="P56" s="223"/>
      <c r="Q56" s="125">
        <v>6</v>
      </c>
      <c r="R56" s="126"/>
      <c r="S56" s="127" t="str">
        <f t="shared" si="51"/>
        <v/>
      </c>
      <c r="T56" s="128"/>
      <c r="U56" s="128"/>
      <c r="V56" s="129" t="str">
        <f t="shared" si="48"/>
        <v/>
      </c>
      <c r="W56" s="128"/>
      <c r="X56" s="128"/>
      <c r="Y56" s="128"/>
      <c r="Z56" s="130" t="str">
        <f t="shared" si="52"/>
        <v/>
      </c>
      <c r="AA56" s="131" t="str">
        <f t="shared" si="1"/>
        <v/>
      </c>
      <c r="AB56" s="132" t="str">
        <f t="shared" si="49"/>
        <v/>
      </c>
      <c r="AC56" s="131" t="str">
        <f t="shared" si="3"/>
        <v/>
      </c>
      <c r="AD56" s="140" t="str">
        <f t="shared" si="53"/>
        <v/>
      </c>
      <c r="AE56" s="133" t="str">
        <f t="shared" si="54"/>
        <v/>
      </c>
      <c r="AF56" s="134"/>
      <c r="AG56" s="135"/>
      <c r="AH56" s="136"/>
      <c r="AI56" s="137"/>
      <c r="AJ56" s="137"/>
      <c r="AK56" s="135"/>
      <c r="AL56" s="136"/>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row>
    <row r="57" spans="1:70" ht="151.5" customHeight="1" x14ac:dyDescent="0.3">
      <c r="A57" s="265">
        <v>9</v>
      </c>
      <c r="B57" s="224"/>
      <c r="C57" s="224"/>
      <c r="D57" s="141"/>
      <c r="E57" s="224"/>
      <c r="F57" s="268"/>
      <c r="G57" s="268"/>
      <c r="H57" s="224"/>
      <c r="I57" s="227"/>
      <c r="J57" s="230" t="str">
        <f>IF(I57&lt;=0,"",IF(I57&lt;=2,"Muy Baja",IF(I57&lt;=24,"Baja",IF(I57&lt;=500,"Media",IF(I57&lt;=5000,"Alta","Muy Alta")))))</f>
        <v/>
      </c>
      <c r="K57" s="233" t="str">
        <f>IF(J57="","",IF(J57="Muy Baja",0.2,IF(J57="Baja",0.4,IF(J57="Media",0.6,IF(J57="Alta",0.8,IF(J57="Muy Alta",1,))))))</f>
        <v/>
      </c>
      <c r="L57" s="236"/>
      <c r="M57" s="233">
        <f ca="1">IF(NOT(ISERROR(MATCH(L57,'Tabla Impacto'!$B$221:$B$223,0))),'Tabla Impacto'!$F$223&amp;"Por favor no seleccionar los criterios de impacto(Afectación Económica o presupuestal y Pérdida Reputacional)",L57)</f>
        <v>0</v>
      </c>
      <c r="N57" s="230" t="str">
        <f ca="1">IF(OR(M57='Tabla Impacto'!$C$11,M57='Tabla Impacto'!$D$11),"Leve",IF(OR(M57='Tabla Impacto'!$C$12,M57='Tabla Impacto'!$D$12),"Menor",IF(OR(M57='Tabla Impacto'!$C$13,M57='Tabla Impacto'!$D$13),"Moderado",IF(OR(M57='Tabla Impacto'!$C$14,M57='Tabla Impacto'!$D$14),"Mayor",IF(OR(M57='Tabla Impacto'!$C$15,M57='Tabla Impacto'!$D$15),"Catastrófico","")))))</f>
        <v/>
      </c>
      <c r="O57" s="233" t="str">
        <f ca="1">IF(N57="","",IF(N57="Leve",0.2,IF(N57="Menor",0.4,IF(N57="Moderado",0.6,IF(N57="Mayor",0.8,IF(N57="Catastrófico",1,))))))</f>
        <v/>
      </c>
      <c r="P57" s="221" t="str">
        <f ca="1">IF(OR(AND(J57="Muy Baja",N57="Leve"),AND(J57="Muy Baja",N57="Menor"),AND(J57="Baja",N57="Leve")),"Bajo",IF(OR(AND(J57="Muy baja",N57="Moderado"),AND(J57="Baja",N57="Menor"),AND(J57="Baja",N57="Moderado"),AND(J57="Media",N57="Leve"),AND(J57="Media",N57="Menor"),AND(J57="Media",N57="Moderado"),AND(J57="Alta",N57="Leve"),AND(J57="Alta",N57="Menor")),"Moderado",IF(OR(AND(J57="Muy Baja",N57="Mayor"),AND(J57="Baja",N57="Mayor"),AND(J57="Media",N57="Mayor"),AND(J57="Alta",N57="Moderado"),AND(J57="Alta",N57="Mayor"),AND(J57="Muy Alta",N57="Leve"),AND(J57="Muy Alta",N57="Menor"),AND(J57="Muy Alta",N57="Moderado"),AND(J57="Muy Alta",N57="Mayor")),"Alto",IF(OR(AND(J57="Muy Baja",N57="Catastrófico"),AND(J57="Baja",N57="Catastrófico"),AND(J57="Media",N57="Catastrófico"),AND(J57="Alta",N57="Catastrófico"),AND(J57="Muy Alta",N57="Catastrófico")),"Extremo",""))))</f>
        <v/>
      </c>
      <c r="Q57" s="125">
        <v>1</v>
      </c>
      <c r="R57" s="126"/>
      <c r="S57" s="127" t="str">
        <f>IF(OR(T57="Preventivo",T57="Detectivo"),"Probabilidad",IF(T57="Correctivo","Impacto",""))</f>
        <v/>
      </c>
      <c r="T57" s="128"/>
      <c r="U57" s="128"/>
      <c r="V57" s="129" t="str">
        <f>IF(AND(T57="Preventivo",U57="Automático"),"50%",IF(AND(T57="Preventivo",U57="Manual"),"40%",IF(AND(T57="Detectivo",U57="Automático"),"40%",IF(AND(T57="Detectivo",U57="Manual"),"30%",IF(AND(T57="Correctivo",U57="Automático"),"35%",IF(AND(T57="Correctivo",U57="Manual"),"25%",""))))))</f>
        <v/>
      </c>
      <c r="W57" s="128"/>
      <c r="X57" s="128"/>
      <c r="Y57" s="128"/>
      <c r="Z57" s="130" t="str">
        <f>IFERROR(IF(S57="Probabilidad",(K57-(+K57*V57)),IF(S57="Impacto",K57,"")),"")</f>
        <v/>
      </c>
      <c r="AA57" s="131" t="str">
        <f>IFERROR(IF(Z57="","",IF(Z57&lt;=0.2,"Muy Baja",IF(Z57&lt;=0.4,"Baja",IF(Z57&lt;=0.6,"Media",IF(Z57&lt;=0.8,"Alta","Muy Alta"))))),"")</f>
        <v/>
      </c>
      <c r="AB57" s="132" t="str">
        <f>+Z57</f>
        <v/>
      </c>
      <c r="AC57" s="131" t="str">
        <f>IFERROR(IF(AD57="","",IF(AD57&lt;=0.2,"Leve",IF(AD57&lt;=0.4,"Menor",IF(AD57&lt;=0.6,"Moderado",IF(AD57&lt;=0.8,"Mayor","Catastrófico"))))),"")</f>
        <v/>
      </c>
      <c r="AD57" s="140" t="str">
        <f>IFERROR(IF(S57="Impacto",(O57-(+O57*V57)),IF(S57="Probabilidad",O57,"")),"")</f>
        <v/>
      </c>
      <c r="AE57" s="133" t="str">
        <f>IFERROR(IF(OR(AND(AA57="Muy Baja",AC57="Leve"),AND(AA57="Muy Baja",AC57="Menor"),AND(AA57="Baja",AC57="Leve")),"Bajo",IF(OR(AND(AA57="Muy baja",AC57="Moderado"),AND(AA57="Baja",AC57="Menor"),AND(AA57="Baja",AC57="Moderado"),AND(AA57="Media",AC57="Leve"),AND(AA57="Media",AC57="Menor"),AND(AA57="Media",AC57="Moderado"),AND(AA57="Alta",AC57="Leve"),AND(AA57="Alta",AC57="Menor")),"Moderado",IF(OR(AND(AA57="Muy Baja",AC57="Mayor"),AND(AA57="Baja",AC57="Mayor"),AND(AA57="Media",AC57="Mayor"),AND(AA57="Alta",AC57="Moderado"),AND(AA57="Alta",AC57="Mayor"),AND(AA57="Muy Alta",AC57="Leve"),AND(AA57="Muy Alta",AC57="Menor"),AND(AA57="Muy Alta",AC57="Moderado"),AND(AA57="Muy Alta",AC57="Mayor")),"Alto",IF(OR(AND(AA57="Muy Baja",AC57="Catastrófico"),AND(AA57="Baja",AC57="Catastrófico"),AND(AA57="Media",AC57="Catastrófico"),AND(AA57="Alta",AC57="Catastrófico"),AND(AA57="Muy Alta",AC57="Catastrófico")),"Extremo","")))),"")</f>
        <v/>
      </c>
      <c r="AF57" s="134"/>
      <c r="AG57" s="135"/>
      <c r="AH57" s="136"/>
      <c r="AI57" s="137"/>
      <c r="AJ57" s="137"/>
      <c r="AK57" s="135"/>
      <c r="AL57" s="136"/>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row>
    <row r="58" spans="1:70" ht="151.5" customHeight="1" x14ac:dyDescent="0.3">
      <c r="A58" s="266"/>
      <c r="B58" s="225"/>
      <c r="C58" s="225"/>
      <c r="D58" s="142"/>
      <c r="E58" s="225"/>
      <c r="F58" s="269"/>
      <c r="G58" s="269"/>
      <c r="H58" s="225"/>
      <c r="I58" s="228"/>
      <c r="J58" s="231"/>
      <c r="K58" s="234"/>
      <c r="L58" s="237"/>
      <c r="M58" s="234">
        <f ca="1">IF(NOT(ISERROR(MATCH(L58,_xlfn.ANCHORARRAY(E69),0))),K71&amp;"Por favor no seleccionar los criterios de impacto",L58)</f>
        <v>0</v>
      </c>
      <c r="N58" s="231"/>
      <c r="O58" s="234"/>
      <c r="P58" s="222"/>
      <c r="Q58" s="125">
        <v>2</v>
      </c>
      <c r="R58" s="126"/>
      <c r="S58" s="127" t="str">
        <f>IF(OR(T58="Preventivo",T58="Detectivo"),"Probabilidad",IF(T58="Correctivo","Impacto",""))</f>
        <v/>
      </c>
      <c r="T58" s="128"/>
      <c r="U58" s="128"/>
      <c r="V58" s="129" t="str">
        <f t="shared" ref="V58:V62" si="55">IF(AND(T58="Preventivo",U58="Automático"),"50%",IF(AND(T58="Preventivo",U58="Manual"),"40%",IF(AND(T58="Detectivo",U58="Automático"),"40%",IF(AND(T58="Detectivo",U58="Manual"),"30%",IF(AND(T58="Correctivo",U58="Automático"),"35%",IF(AND(T58="Correctivo",U58="Manual"),"25%",""))))))</f>
        <v/>
      </c>
      <c r="W58" s="128"/>
      <c r="X58" s="128"/>
      <c r="Y58" s="128"/>
      <c r="Z58" s="130" t="str">
        <f>IFERROR(IF(AND(S57="Probabilidad",S58="Probabilidad"),(AB57-(+AB57*V58)),IF(S58="Probabilidad",(K57-(+K57*V58)),IF(S58="Impacto",AB57,""))),"")</f>
        <v/>
      </c>
      <c r="AA58" s="131" t="str">
        <f t="shared" si="1"/>
        <v/>
      </c>
      <c r="AB58" s="132" t="str">
        <f t="shared" ref="AB58:AB62" si="56">+Z58</f>
        <v/>
      </c>
      <c r="AC58" s="131" t="str">
        <f t="shared" si="3"/>
        <v/>
      </c>
      <c r="AD58" s="140" t="str">
        <f>IFERROR(IF(AND(S57="Impacto",S58="Impacto"),(AD57-(+AD57*V58)),IF(S58="Impacto",(O57-(+O57*V58)),IF(S58="Probabilidad",AD57,""))),"")</f>
        <v/>
      </c>
      <c r="AE58" s="133" t="str">
        <f t="shared" ref="AE58:AE59" si="57">IFERROR(IF(OR(AND(AA58="Muy Baja",AC58="Leve"),AND(AA58="Muy Baja",AC58="Menor"),AND(AA58="Baja",AC58="Leve")),"Bajo",IF(OR(AND(AA58="Muy baja",AC58="Moderado"),AND(AA58="Baja",AC58="Menor"),AND(AA58="Baja",AC58="Moderado"),AND(AA58="Media",AC58="Leve"),AND(AA58="Media",AC58="Menor"),AND(AA58="Media",AC58="Moderado"),AND(AA58="Alta",AC58="Leve"),AND(AA58="Alta",AC58="Menor")),"Moderado",IF(OR(AND(AA58="Muy Baja",AC58="Mayor"),AND(AA58="Baja",AC58="Mayor"),AND(AA58="Media",AC58="Mayor"),AND(AA58="Alta",AC58="Moderado"),AND(AA58="Alta",AC58="Mayor"),AND(AA58="Muy Alta",AC58="Leve"),AND(AA58="Muy Alta",AC58="Menor"),AND(AA58="Muy Alta",AC58="Moderado"),AND(AA58="Muy Alta",AC58="Mayor")),"Alto",IF(OR(AND(AA58="Muy Baja",AC58="Catastrófico"),AND(AA58="Baja",AC58="Catastrófico"),AND(AA58="Media",AC58="Catastrófico"),AND(AA58="Alta",AC58="Catastrófico"),AND(AA58="Muy Alta",AC58="Catastrófico")),"Extremo","")))),"")</f>
        <v/>
      </c>
      <c r="AF58" s="134"/>
      <c r="AG58" s="135"/>
      <c r="AH58" s="136"/>
      <c r="AI58" s="137"/>
      <c r="AJ58" s="137"/>
      <c r="AK58" s="135"/>
      <c r="AL58" s="136"/>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row>
    <row r="59" spans="1:70" ht="151.5" customHeight="1" x14ac:dyDescent="0.3">
      <c r="A59" s="266"/>
      <c r="B59" s="225"/>
      <c r="C59" s="225"/>
      <c r="D59" s="142"/>
      <c r="E59" s="225"/>
      <c r="F59" s="269"/>
      <c r="G59" s="269"/>
      <c r="H59" s="225"/>
      <c r="I59" s="228"/>
      <c r="J59" s="231"/>
      <c r="K59" s="234"/>
      <c r="L59" s="237"/>
      <c r="M59" s="234">
        <f ca="1">IF(NOT(ISERROR(MATCH(L59,_xlfn.ANCHORARRAY(E70),0))),K72&amp;"Por favor no seleccionar los criterios de impacto",L59)</f>
        <v>0</v>
      </c>
      <c r="N59" s="231"/>
      <c r="O59" s="234"/>
      <c r="P59" s="222"/>
      <c r="Q59" s="125">
        <v>3</v>
      </c>
      <c r="R59" s="138"/>
      <c r="S59" s="127" t="str">
        <f>IF(OR(T59="Preventivo",T59="Detectivo"),"Probabilidad",IF(T59="Correctivo","Impacto",""))</f>
        <v/>
      </c>
      <c r="T59" s="128"/>
      <c r="U59" s="128"/>
      <c r="V59" s="129" t="str">
        <f t="shared" si="55"/>
        <v/>
      </c>
      <c r="W59" s="128"/>
      <c r="X59" s="128"/>
      <c r="Y59" s="128"/>
      <c r="Z59" s="130" t="str">
        <f>IFERROR(IF(AND(S58="Probabilidad",S59="Probabilidad"),(AB58-(+AB58*V59)),IF(AND(S58="Impacto",S59="Probabilidad"),(AB57-(+AB57*V59)),IF(S59="Impacto",AB58,""))),"")</f>
        <v/>
      </c>
      <c r="AA59" s="131" t="str">
        <f t="shared" si="1"/>
        <v/>
      </c>
      <c r="AB59" s="132" t="str">
        <f t="shared" si="56"/>
        <v/>
      </c>
      <c r="AC59" s="131" t="str">
        <f t="shared" si="3"/>
        <v/>
      </c>
      <c r="AD59" s="140" t="str">
        <f>IFERROR(IF(AND(S58="Impacto",S59="Impacto"),(AD58-(+AD58*V59)),IF(AND(S58="Probabilidad",S59="Impacto"),(AD57-(+AD57*V59)),IF(S59="Probabilidad",AD58,""))),"")</f>
        <v/>
      </c>
      <c r="AE59" s="133" t="str">
        <f t="shared" si="57"/>
        <v/>
      </c>
      <c r="AF59" s="134"/>
      <c r="AG59" s="135"/>
      <c r="AH59" s="136"/>
      <c r="AI59" s="137"/>
      <c r="AJ59" s="137"/>
      <c r="AK59" s="135"/>
      <c r="AL59" s="136"/>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row>
    <row r="60" spans="1:70" ht="151.5" customHeight="1" x14ac:dyDescent="0.3">
      <c r="A60" s="266"/>
      <c r="B60" s="225"/>
      <c r="C60" s="225"/>
      <c r="D60" s="142"/>
      <c r="E60" s="225"/>
      <c r="F60" s="269"/>
      <c r="G60" s="269"/>
      <c r="H60" s="225"/>
      <c r="I60" s="228"/>
      <c r="J60" s="231"/>
      <c r="K60" s="234"/>
      <c r="L60" s="237"/>
      <c r="M60" s="234">
        <f ca="1">IF(NOT(ISERROR(MATCH(L60,_xlfn.ANCHORARRAY(E71),0))),K73&amp;"Por favor no seleccionar los criterios de impacto",L60)</f>
        <v>0</v>
      </c>
      <c r="N60" s="231"/>
      <c r="O60" s="234"/>
      <c r="P60" s="222"/>
      <c r="Q60" s="125">
        <v>4</v>
      </c>
      <c r="R60" s="126"/>
      <c r="S60" s="127" t="str">
        <f t="shared" ref="S60:S62" si="58">IF(OR(T60="Preventivo",T60="Detectivo"),"Probabilidad",IF(T60="Correctivo","Impacto",""))</f>
        <v/>
      </c>
      <c r="T60" s="128"/>
      <c r="U60" s="128"/>
      <c r="V60" s="129" t="str">
        <f t="shared" si="55"/>
        <v/>
      </c>
      <c r="W60" s="128"/>
      <c r="X60" s="128"/>
      <c r="Y60" s="128"/>
      <c r="Z60" s="130" t="str">
        <f t="shared" ref="Z60:Z62" si="59">IFERROR(IF(AND(S59="Probabilidad",S60="Probabilidad"),(AB59-(+AB59*V60)),IF(AND(S59="Impacto",S60="Probabilidad"),(AB58-(+AB58*V60)),IF(S60="Impacto",AB59,""))),"")</f>
        <v/>
      </c>
      <c r="AA60" s="131" t="str">
        <f t="shared" si="1"/>
        <v/>
      </c>
      <c r="AB60" s="132" t="str">
        <f t="shared" si="56"/>
        <v/>
      </c>
      <c r="AC60" s="131" t="str">
        <f t="shared" si="3"/>
        <v/>
      </c>
      <c r="AD60" s="140" t="str">
        <f t="shared" ref="AD60:AD62" si="60">IFERROR(IF(AND(S59="Impacto",S60="Impacto"),(AD59-(+AD59*V60)),IF(AND(S59="Probabilidad",S60="Impacto"),(AD58-(+AD58*V60)),IF(S60="Probabilidad",AD59,""))),"")</f>
        <v/>
      </c>
      <c r="AE60" s="133" t="str">
        <f>IFERROR(IF(OR(AND(AA60="Muy Baja",AC60="Leve"),AND(AA60="Muy Baja",AC60="Menor"),AND(AA60="Baja",AC60="Leve")),"Bajo",IF(OR(AND(AA60="Muy baja",AC60="Moderado"),AND(AA60="Baja",AC60="Menor"),AND(AA60="Baja",AC60="Moderado"),AND(AA60="Media",AC60="Leve"),AND(AA60="Media",AC60="Menor"),AND(AA60="Media",AC60="Moderado"),AND(AA60="Alta",AC60="Leve"),AND(AA60="Alta",AC60="Menor")),"Moderado",IF(OR(AND(AA60="Muy Baja",AC60="Mayor"),AND(AA60="Baja",AC60="Mayor"),AND(AA60="Media",AC60="Mayor"),AND(AA60="Alta",AC60="Moderado"),AND(AA60="Alta",AC60="Mayor"),AND(AA60="Muy Alta",AC60="Leve"),AND(AA60="Muy Alta",AC60="Menor"),AND(AA60="Muy Alta",AC60="Moderado"),AND(AA60="Muy Alta",AC60="Mayor")),"Alto",IF(OR(AND(AA60="Muy Baja",AC60="Catastrófico"),AND(AA60="Baja",AC60="Catastrófico"),AND(AA60="Media",AC60="Catastrófico"),AND(AA60="Alta",AC60="Catastrófico"),AND(AA60="Muy Alta",AC60="Catastrófico")),"Extremo","")))),"")</f>
        <v/>
      </c>
      <c r="AF60" s="134"/>
      <c r="AG60" s="135"/>
      <c r="AH60" s="136"/>
      <c r="AI60" s="137"/>
      <c r="AJ60" s="137"/>
      <c r="AK60" s="135"/>
      <c r="AL60" s="136"/>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row>
    <row r="61" spans="1:70" ht="151.5" customHeight="1" x14ac:dyDescent="0.3">
      <c r="A61" s="266"/>
      <c r="B61" s="225"/>
      <c r="C61" s="225"/>
      <c r="D61" s="142"/>
      <c r="E61" s="225"/>
      <c r="F61" s="269"/>
      <c r="G61" s="269"/>
      <c r="H61" s="225"/>
      <c r="I61" s="228"/>
      <c r="J61" s="231"/>
      <c r="K61" s="234"/>
      <c r="L61" s="237"/>
      <c r="M61" s="234">
        <f ca="1">IF(NOT(ISERROR(MATCH(L61,_xlfn.ANCHORARRAY(E72),0))),K74&amp;"Por favor no seleccionar los criterios de impacto",L61)</f>
        <v>0</v>
      </c>
      <c r="N61" s="231"/>
      <c r="O61" s="234"/>
      <c r="P61" s="222"/>
      <c r="Q61" s="125">
        <v>5</v>
      </c>
      <c r="R61" s="126"/>
      <c r="S61" s="127" t="str">
        <f t="shared" si="58"/>
        <v/>
      </c>
      <c r="T61" s="128"/>
      <c r="U61" s="128"/>
      <c r="V61" s="129" t="str">
        <f t="shared" si="55"/>
        <v/>
      </c>
      <c r="W61" s="128"/>
      <c r="X61" s="128"/>
      <c r="Y61" s="128"/>
      <c r="Z61" s="130" t="str">
        <f t="shared" si="59"/>
        <v/>
      </c>
      <c r="AA61" s="131" t="str">
        <f t="shared" si="1"/>
        <v/>
      </c>
      <c r="AB61" s="132" t="str">
        <f t="shared" si="56"/>
        <v/>
      </c>
      <c r="AC61" s="131" t="str">
        <f t="shared" si="3"/>
        <v/>
      </c>
      <c r="AD61" s="140" t="str">
        <f t="shared" si="60"/>
        <v/>
      </c>
      <c r="AE61" s="133" t="str">
        <f t="shared" ref="AE61:AE62" si="61">IFERROR(IF(OR(AND(AA61="Muy Baja",AC61="Leve"),AND(AA61="Muy Baja",AC61="Menor"),AND(AA61="Baja",AC61="Leve")),"Bajo",IF(OR(AND(AA61="Muy baja",AC61="Moderado"),AND(AA61="Baja",AC61="Menor"),AND(AA61="Baja",AC61="Moderado"),AND(AA61="Media",AC61="Leve"),AND(AA61="Media",AC61="Menor"),AND(AA61="Media",AC61="Moderado"),AND(AA61="Alta",AC61="Leve"),AND(AA61="Alta",AC61="Menor")),"Moderado",IF(OR(AND(AA61="Muy Baja",AC61="Mayor"),AND(AA61="Baja",AC61="Mayor"),AND(AA61="Media",AC61="Mayor"),AND(AA61="Alta",AC61="Moderado"),AND(AA61="Alta",AC61="Mayor"),AND(AA61="Muy Alta",AC61="Leve"),AND(AA61="Muy Alta",AC61="Menor"),AND(AA61="Muy Alta",AC61="Moderado"),AND(AA61="Muy Alta",AC61="Mayor")),"Alto",IF(OR(AND(AA61="Muy Baja",AC61="Catastrófico"),AND(AA61="Baja",AC61="Catastrófico"),AND(AA61="Media",AC61="Catastrófico"),AND(AA61="Alta",AC61="Catastrófico"),AND(AA61="Muy Alta",AC61="Catastrófico")),"Extremo","")))),"")</f>
        <v/>
      </c>
      <c r="AF61" s="134"/>
      <c r="AG61" s="135"/>
      <c r="AH61" s="136"/>
      <c r="AI61" s="137"/>
      <c r="AJ61" s="137"/>
      <c r="AK61" s="135"/>
      <c r="AL61" s="136"/>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row>
    <row r="62" spans="1:70" ht="151.5" customHeight="1" x14ac:dyDescent="0.3">
      <c r="A62" s="267"/>
      <c r="B62" s="226"/>
      <c r="C62" s="226"/>
      <c r="D62" s="143"/>
      <c r="E62" s="226"/>
      <c r="F62" s="270"/>
      <c r="G62" s="270"/>
      <c r="H62" s="226"/>
      <c r="I62" s="229"/>
      <c r="J62" s="232"/>
      <c r="K62" s="235"/>
      <c r="L62" s="238"/>
      <c r="M62" s="235">
        <f ca="1">IF(NOT(ISERROR(MATCH(L62,_xlfn.ANCHORARRAY(E73),0))),K75&amp;"Por favor no seleccionar los criterios de impacto",L62)</f>
        <v>0</v>
      </c>
      <c r="N62" s="232"/>
      <c r="O62" s="235"/>
      <c r="P62" s="223"/>
      <c r="Q62" s="125">
        <v>6</v>
      </c>
      <c r="R62" s="126"/>
      <c r="S62" s="127" t="str">
        <f t="shared" si="58"/>
        <v/>
      </c>
      <c r="T62" s="128"/>
      <c r="U62" s="128"/>
      <c r="V62" s="129" t="str">
        <f t="shared" si="55"/>
        <v/>
      </c>
      <c r="W62" s="128"/>
      <c r="X62" s="128"/>
      <c r="Y62" s="128"/>
      <c r="Z62" s="130" t="str">
        <f t="shared" si="59"/>
        <v/>
      </c>
      <c r="AA62" s="131" t="str">
        <f t="shared" si="1"/>
        <v/>
      </c>
      <c r="AB62" s="132" t="str">
        <f t="shared" si="56"/>
        <v/>
      </c>
      <c r="AC62" s="131" t="str">
        <f t="shared" si="3"/>
        <v/>
      </c>
      <c r="AD62" s="140" t="str">
        <f t="shared" si="60"/>
        <v/>
      </c>
      <c r="AE62" s="133" t="str">
        <f t="shared" si="61"/>
        <v/>
      </c>
      <c r="AF62" s="134"/>
      <c r="AG62" s="135"/>
      <c r="AH62" s="136"/>
      <c r="AI62" s="137"/>
      <c r="AJ62" s="137"/>
      <c r="AK62" s="135"/>
      <c r="AL62" s="136"/>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row>
    <row r="63" spans="1:70" ht="151.5" customHeight="1" x14ac:dyDescent="0.3">
      <c r="A63" s="265">
        <v>10</v>
      </c>
      <c r="B63" s="224"/>
      <c r="C63" s="224"/>
      <c r="D63" s="141"/>
      <c r="E63" s="224"/>
      <c r="F63" s="268"/>
      <c r="G63" s="268"/>
      <c r="H63" s="224"/>
      <c r="I63" s="227"/>
      <c r="J63" s="230" t="str">
        <f>IF(I63&lt;=0,"",IF(I63&lt;=2,"Muy Baja",IF(I63&lt;=24,"Baja",IF(I63&lt;=500,"Media",IF(I63&lt;=5000,"Alta","Muy Alta")))))</f>
        <v/>
      </c>
      <c r="K63" s="233" t="str">
        <f>IF(J63="","",IF(J63="Muy Baja",0.2,IF(J63="Baja",0.4,IF(J63="Media",0.6,IF(J63="Alta",0.8,IF(J63="Muy Alta",1,))))))</f>
        <v/>
      </c>
      <c r="L63" s="236"/>
      <c r="M63" s="233">
        <f ca="1">IF(NOT(ISERROR(MATCH(L63,'Tabla Impacto'!$B$221:$B$223,0))),'Tabla Impacto'!$F$223&amp;"Por favor no seleccionar los criterios de impacto(Afectación Económica o presupuestal y Pérdida Reputacional)",L63)</f>
        <v>0</v>
      </c>
      <c r="N63" s="230" t="str">
        <f ca="1">IF(OR(M63='Tabla Impacto'!$C$11,M63='Tabla Impacto'!$D$11),"Leve",IF(OR(M63='Tabla Impacto'!$C$12,M63='Tabla Impacto'!$D$12),"Menor",IF(OR(M63='Tabla Impacto'!$C$13,M63='Tabla Impacto'!$D$13),"Moderado",IF(OR(M63='Tabla Impacto'!$C$14,M63='Tabla Impacto'!$D$14),"Mayor",IF(OR(M63='Tabla Impacto'!$C$15,M63='Tabla Impacto'!$D$15),"Catastrófico","")))))</f>
        <v/>
      </c>
      <c r="O63" s="233" t="str">
        <f ca="1">IF(N63="","",IF(N63="Leve",0.2,IF(N63="Menor",0.4,IF(N63="Moderado",0.6,IF(N63="Mayor",0.8,IF(N63="Catastrófico",1,))))))</f>
        <v/>
      </c>
      <c r="P63" s="221" t="str">
        <f ca="1">IF(OR(AND(J63="Muy Baja",N63="Leve"),AND(J63="Muy Baja",N63="Menor"),AND(J63="Baja",N63="Leve")),"Bajo",IF(OR(AND(J63="Muy baja",N63="Moderado"),AND(J63="Baja",N63="Menor"),AND(J63="Baja",N63="Moderado"),AND(J63="Media",N63="Leve"),AND(J63="Media",N63="Menor"),AND(J63="Media",N63="Moderado"),AND(J63="Alta",N63="Leve"),AND(J63="Alta",N63="Menor")),"Moderado",IF(OR(AND(J63="Muy Baja",N63="Mayor"),AND(J63="Baja",N63="Mayor"),AND(J63="Media",N63="Mayor"),AND(J63="Alta",N63="Moderado"),AND(J63="Alta",N63="Mayor"),AND(J63="Muy Alta",N63="Leve"),AND(J63="Muy Alta",N63="Menor"),AND(J63="Muy Alta",N63="Moderado"),AND(J63="Muy Alta",N63="Mayor")),"Alto",IF(OR(AND(J63="Muy Baja",N63="Catastrófico"),AND(J63="Baja",N63="Catastrófico"),AND(J63="Media",N63="Catastrófico"),AND(J63="Alta",N63="Catastrófico"),AND(J63="Muy Alta",N63="Catastrófico")),"Extremo",""))))</f>
        <v/>
      </c>
      <c r="Q63" s="125">
        <v>1</v>
      </c>
      <c r="R63" s="126"/>
      <c r="S63" s="127" t="str">
        <f>IF(OR(T63="Preventivo",T63="Detectivo"),"Probabilidad",IF(T63="Correctivo","Impacto",""))</f>
        <v/>
      </c>
      <c r="T63" s="128"/>
      <c r="U63" s="128"/>
      <c r="V63" s="129" t="str">
        <f>IF(AND(T63="Preventivo",U63="Automático"),"50%",IF(AND(T63="Preventivo",U63="Manual"),"40%",IF(AND(T63="Detectivo",U63="Automático"),"40%",IF(AND(T63="Detectivo",U63="Manual"),"30%",IF(AND(T63="Correctivo",U63="Automático"),"35%",IF(AND(T63="Correctivo",U63="Manual"),"25%",""))))))</f>
        <v/>
      </c>
      <c r="W63" s="128"/>
      <c r="X63" s="128"/>
      <c r="Y63" s="128"/>
      <c r="Z63" s="130" t="str">
        <f>IFERROR(IF(S63="Probabilidad",(K63-(+K63*V63)),IF(S63="Impacto",K63,"")),"")</f>
        <v/>
      </c>
      <c r="AA63" s="131" t="str">
        <f>IFERROR(IF(Z63="","",IF(Z63&lt;=0.2,"Muy Baja",IF(Z63&lt;=0.4,"Baja",IF(Z63&lt;=0.6,"Media",IF(Z63&lt;=0.8,"Alta","Muy Alta"))))),"")</f>
        <v/>
      </c>
      <c r="AB63" s="132" t="str">
        <f>+Z63</f>
        <v/>
      </c>
      <c r="AC63" s="131" t="str">
        <f>IFERROR(IF(AD63="","",IF(AD63&lt;=0.2,"Leve",IF(AD63&lt;=0.4,"Menor",IF(AD63&lt;=0.6,"Moderado",IF(AD63&lt;=0.8,"Mayor","Catastrófico"))))),"")</f>
        <v/>
      </c>
      <c r="AD63" s="140" t="str">
        <f>IFERROR(IF(S63="Impacto",(O63-(+O63*V63)),IF(S63="Probabilidad",O63,"")),"")</f>
        <v/>
      </c>
      <c r="AE63" s="133" t="str">
        <f>IFERROR(IF(OR(AND(AA63="Muy Baja",AC63="Leve"),AND(AA63="Muy Baja",AC63="Menor"),AND(AA63="Baja",AC63="Leve")),"Bajo",IF(OR(AND(AA63="Muy baja",AC63="Moderado"),AND(AA63="Baja",AC63="Menor"),AND(AA63="Baja",AC63="Moderado"),AND(AA63="Media",AC63="Leve"),AND(AA63="Media",AC63="Menor"),AND(AA63="Media",AC63="Moderado"),AND(AA63="Alta",AC63="Leve"),AND(AA63="Alta",AC63="Menor")),"Moderado",IF(OR(AND(AA63="Muy Baja",AC63="Mayor"),AND(AA63="Baja",AC63="Mayor"),AND(AA63="Media",AC63="Mayor"),AND(AA63="Alta",AC63="Moderado"),AND(AA63="Alta",AC63="Mayor"),AND(AA63="Muy Alta",AC63="Leve"),AND(AA63="Muy Alta",AC63="Menor"),AND(AA63="Muy Alta",AC63="Moderado"),AND(AA63="Muy Alta",AC63="Mayor")),"Alto",IF(OR(AND(AA63="Muy Baja",AC63="Catastrófico"),AND(AA63="Baja",AC63="Catastrófico"),AND(AA63="Media",AC63="Catastrófico"),AND(AA63="Alta",AC63="Catastrófico"),AND(AA63="Muy Alta",AC63="Catastrófico")),"Extremo","")))),"")</f>
        <v/>
      </c>
      <c r="AF63" s="134"/>
      <c r="AG63" s="135"/>
      <c r="AH63" s="136"/>
      <c r="AI63" s="137"/>
      <c r="AJ63" s="137"/>
      <c r="AK63" s="135"/>
      <c r="AL63" s="136"/>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row>
    <row r="64" spans="1:70" ht="151.5" customHeight="1" x14ac:dyDescent="0.3">
      <c r="A64" s="266"/>
      <c r="B64" s="225"/>
      <c r="C64" s="225"/>
      <c r="D64" s="142"/>
      <c r="E64" s="225"/>
      <c r="F64" s="269"/>
      <c r="G64" s="269"/>
      <c r="H64" s="225"/>
      <c r="I64" s="228"/>
      <c r="J64" s="231"/>
      <c r="K64" s="234"/>
      <c r="L64" s="237"/>
      <c r="M64" s="234">
        <f ca="1">IF(NOT(ISERROR(MATCH(L64,_xlfn.ANCHORARRAY(E75),0))),K77&amp;"Por favor no seleccionar los criterios de impacto",L64)</f>
        <v>0</v>
      </c>
      <c r="N64" s="231"/>
      <c r="O64" s="234"/>
      <c r="P64" s="222"/>
      <c r="Q64" s="125">
        <v>2</v>
      </c>
      <c r="R64" s="126"/>
      <c r="S64" s="127" t="str">
        <f>IF(OR(T64="Preventivo",T64="Detectivo"),"Probabilidad",IF(T64="Correctivo","Impacto",""))</f>
        <v/>
      </c>
      <c r="T64" s="128"/>
      <c r="U64" s="128"/>
      <c r="V64" s="129" t="str">
        <f t="shared" ref="V64:V68" si="62">IF(AND(T64="Preventivo",U64="Automático"),"50%",IF(AND(T64="Preventivo",U64="Manual"),"40%",IF(AND(T64="Detectivo",U64="Automático"),"40%",IF(AND(T64="Detectivo",U64="Manual"),"30%",IF(AND(T64="Correctivo",U64="Automático"),"35%",IF(AND(T64="Correctivo",U64="Manual"),"25%",""))))))</f>
        <v/>
      </c>
      <c r="W64" s="128"/>
      <c r="X64" s="128"/>
      <c r="Y64" s="128"/>
      <c r="Z64" s="130" t="str">
        <f>IFERROR(IF(AND(S63="Probabilidad",S64="Probabilidad"),(AB63-(+AB63*V64)),IF(S64="Probabilidad",(K63-(+K63*V64)),IF(S64="Impacto",AB63,""))),"")</f>
        <v/>
      </c>
      <c r="AA64" s="131" t="str">
        <f t="shared" si="1"/>
        <v/>
      </c>
      <c r="AB64" s="132" t="str">
        <f t="shared" ref="AB64:AB68" si="63">+Z64</f>
        <v/>
      </c>
      <c r="AC64" s="131" t="str">
        <f t="shared" si="3"/>
        <v/>
      </c>
      <c r="AD64" s="140" t="str">
        <f>IFERROR(IF(AND(S63="Impacto",S64="Impacto"),(AD63-(+AD63*V64)),IF(S64="Impacto",(O63-(+O63*V64)),IF(S64="Probabilidad",AD63,""))),"")</f>
        <v/>
      </c>
      <c r="AE64" s="133" t="str">
        <f t="shared" ref="AE64:AE65" si="64">IFERROR(IF(OR(AND(AA64="Muy Baja",AC64="Leve"),AND(AA64="Muy Baja",AC64="Menor"),AND(AA64="Baja",AC64="Leve")),"Bajo",IF(OR(AND(AA64="Muy baja",AC64="Moderado"),AND(AA64="Baja",AC64="Menor"),AND(AA64="Baja",AC64="Moderado"),AND(AA64="Media",AC64="Leve"),AND(AA64="Media",AC64="Menor"),AND(AA64="Media",AC64="Moderado"),AND(AA64="Alta",AC64="Leve"),AND(AA64="Alta",AC64="Menor")),"Moderado",IF(OR(AND(AA64="Muy Baja",AC64="Mayor"),AND(AA64="Baja",AC64="Mayor"),AND(AA64="Media",AC64="Mayor"),AND(AA64="Alta",AC64="Moderado"),AND(AA64="Alta",AC64="Mayor"),AND(AA64="Muy Alta",AC64="Leve"),AND(AA64="Muy Alta",AC64="Menor"),AND(AA64="Muy Alta",AC64="Moderado"),AND(AA64="Muy Alta",AC64="Mayor")),"Alto",IF(OR(AND(AA64="Muy Baja",AC64="Catastrófico"),AND(AA64="Baja",AC64="Catastrófico"),AND(AA64="Media",AC64="Catastrófico"),AND(AA64="Alta",AC64="Catastrófico"),AND(AA64="Muy Alta",AC64="Catastrófico")),"Extremo","")))),"")</f>
        <v/>
      </c>
      <c r="AF64" s="134"/>
      <c r="AG64" s="135"/>
      <c r="AH64" s="136"/>
      <c r="AI64" s="137"/>
      <c r="AJ64" s="137"/>
      <c r="AK64" s="135"/>
      <c r="AL64" s="136"/>
    </row>
    <row r="65" spans="1:38" ht="151.5" customHeight="1" x14ac:dyDescent="0.3">
      <c r="A65" s="266"/>
      <c r="B65" s="225"/>
      <c r="C65" s="225"/>
      <c r="D65" s="142"/>
      <c r="E65" s="225"/>
      <c r="F65" s="269"/>
      <c r="G65" s="269"/>
      <c r="H65" s="225"/>
      <c r="I65" s="228"/>
      <c r="J65" s="231"/>
      <c r="K65" s="234"/>
      <c r="L65" s="237"/>
      <c r="M65" s="234">
        <f ca="1">IF(NOT(ISERROR(MATCH(L65,_xlfn.ANCHORARRAY(E76),0))),K78&amp;"Por favor no seleccionar los criterios de impacto",L65)</f>
        <v>0</v>
      </c>
      <c r="N65" s="231"/>
      <c r="O65" s="234"/>
      <c r="P65" s="222"/>
      <c r="Q65" s="125">
        <v>3</v>
      </c>
      <c r="R65" s="138"/>
      <c r="S65" s="127" t="str">
        <f>IF(OR(T65="Preventivo",T65="Detectivo"),"Probabilidad",IF(T65="Correctivo","Impacto",""))</f>
        <v/>
      </c>
      <c r="T65" s="128"/>
      <c r="U65" s="128"/>
      <c r="V65" s="129" t="str">
        <f t="shared" si="62"/>
        <v/>
      </c>
      <c r="W65" s="128"/>
      <c r="X65" s="128"/>
      <c r="Y65" s="128"/>
      <c r="Z65" s="130" t="str">
        <f>IFERROR(IF(AND(S64="Probabilidad",S65="Probabilidad"),(AB64-(+AB64*V65)),IF(AND(S64="Impacto",S65="Probabilidad"),(AB63-(+AB63*V65)),IF(S65="Impacto",AB64,""))),"")</f>
        <v/>
      </c>
      <c r="AA65" s="131" t="str">
        <f t="shared" si="1"/>
        <v/>
      </c>
      <c r="AB65" s="132" t="str">
        <f t="shared" si="63"/>
        <v/>
      </c>
      <c r="AC65" s="131" t="str">
        <f t="shared" si="3"/>
        <v/>
      </c>
      <c r="AD65" s="140" t="str">
        <f>IFERROR(IF(AND(S64="Impacto",S65="Impacto"),(AD64-(+AD64*V65)),IF(AND(S64="Probabilidad",S65="Impacto"),(AD63-(+AD63*V65)),IF(S65="Probabilidad",AD64,""))),"")</f>
        <v/>
      </c>
      <c r="AE65" s="133" t="str">
        <f t="shared" si="64"/>
        <v/>
      </c>
      <c r="AF65" s="134"/>
      <c r="AG65" s="135"/>
      <c r="AH65" s="136"/>
      <c r="AI65" s="137"/>
      <c r="AJ65" s="137"/>
      <c r="AK65" s="135"/>
      <c r="AL65" s="136"/>
    </row>
    <row r="66" spans="1:38" ht="151.5" customHeight="1" x14ac:dyDescent="0.3">
      <c r="A66" s="266"/>
      <c r="B66" s="225"/>
      <c r="C66" s="225"/>
      <c r="D66" s="142"/>
      <c r="E66" s="225"/>
      <c r="F66" s="269"/>
      <c r="G66" s="269"/>
      <c r="H66" s="225"/>
      <c r="I66" s="228"/>
      <c r="J66" s="231"/>
      <c r="K66" s="234"/>
      <c r="L66" s="237"/>
      <c r="M66" s="234">
        <f ca="1">IF(NOT(ISERROR(MATCH(L66,_xlfn.ANCHORARRAY(E77),0))),K79&amp;"Por favor no seleccionar los criterios de impacto",L66)</f>
        <v>0</v>
      </c>
      <c r="N66" s="231"/>
      <c r="O66" s="234"/>
      <c r="P66" s="222"/>
      <c r="Q66" s="125">
        <v>4</v>
      </c>
      <c r="R66" s="126"/>
      <c r="S66" s="127" t="str">
        <f t="shared" ref="S66:S68" si="65">IF(OR(T66="Preventivo",T66="Detectivo"),"Probabilidad",IF(T66="Correctivo","Impacto",""))</f>
        <v/>
      </c>
      <c r="T66" s="128"/>
      <c r="U66" s="128"/>
      <c r="V66" s="129" t="str">
        <f t="shared" si="62"/>
        <v/>
      </c>
      <c r="W66" s="128"/>
      <c r="X66" s="128"/>
      <c r="Y66" s="128"/>
      <c r="Z66" s="130" t="str">
        <f t="shared" ref="Z66:Z68" si="66">IFERROR(IF(AND(S65="Probabilidad",S66="Probabilidad"),(AB65-(+AB65*V66)),IF(AND(S65="Impacto",S66="Probabilidad"),(AB64-(+AB64*V66)),IF(S66="Impacto",AB65,""))),"")</f>
        <v/>
      </c>
      <c r="AA66" s="131" t="str">
        <f t="shared" si="1"/>
        <v/>
      </c>
      <c r="AB66" s="132" t="str">
        <f t="shared" si="63"/>
        <v/>
      </c>
      <c r="AC66" s="131" t="str">
        <f t="shared" si="3"/>
        <v/>
      </c>
      <c r="AD66" s="140" t="str">
        <f t="shared" ref="AD66:AD68" si="67">IFERROR(IF(AND(S65="Impacto",S66="Impacto"),(AD65-(+AD65*V66)),IF(AND(S65="Probabilidad",S66="Impacto"),(AD64-(+AD64*V66)),IF(S66="Probabilidad",AD65,""))),"")</f>
        <v/>
      </c>
      <c r="AE66" s="133" t="str">
        <f>IFERROR(IF(OR(AND(AA66="Muy Baja",AC66="Leve"),AND(AA66="Muy Baja",AC66="Menor"),AND(AA66="Baja",AC66="Leve")),"Bajo",IF(OR(AND(AA66="Muy baja",AC66="Moderado"),AND(AA66="Baja",AC66="Menor"),AND(AA66="Baja",AC66="Moderado"),AND(AA66="Media",AC66="Leve"),AND(AA66="Media",AC66="Menor"),AND(AA66="Media",AC66="Moderado"),AND(AA66="Alta",AC66="Leve"),AND(AA66="Alta",AC66="Menor")),"Moderado",IF(OR(AND(AA66="Muy Baja",AC66="Mayor"),AND(AA66="Baja",AC66="Mayor"),AND(AA66="Media",AC66="Mayor"),AND(AA66="Alta",AC66="Moderado"),AND(AA66="Alta",AC66="Mayor"),AND(AA66="Muy Alta",AC66="Leve"),AND(AA66="Muy Alta",AC66="Menor"),AND(AA66="Muy Alta",AC66="Moderado"),AND(AA66="Muy Alta",AC66="Mayor")),"Alto",IF(OR(AND(AA66="Muy Baja",AC66="Catastrófico"),AND(AA66="Baja",AC66="Catastrófico"),AND(AA66="Media",AC66="Catastrófico"),AND(AA66="Alta",AC66="Catastrófico"),AND(AA66="Muy Alta",AC66="Catastrófico")),"Extremo","")))),"")</f>
        <v/>
      </c>
      <c r="AF66" s="134"/>
      <c r="AG66" s="135"/>
      <c r="AH66" s="136"/>
      <c r="AI66" s="137"/>
      <c r="AJ66" s="137"/>
      <c r="AK66" s="135"/>
      <c r="AL66" s="136"/>
    </row>
    <row r="67" spans="1:38" ht="151.5" customHeight="1" x14ac:dyDescent="0.3">
      <c r="A67" s="266"/>
      <c r="B67" s="225"/>
      <c r="C67" s="225"/>
      <c r="D67" s="142"/>
      <c r="E67" s="225"/>
      <c r="F67" s="269"/>
      <c r="G67" s="269"/>
      <c r="H67" s="225"/>
      <c r="I67" s="228"/>
      <c r="J67" s="231"/>
      <c r="K67" s="234"/>
      <c r="L67" s="237"/>
      <c r="M67" s="234">
        <f ca="1">IF(NOT(ISERROR(MATCH(L67,_xlfn.ANCHORARRAY(E78),0))),K80&amp;"Por favor no seleccionar los criterios de impacto",L67)</f>
        <v>0</v>
      </c>
      <c r="N67" s="231"/>
      <c r="O67" s="234"/>
      <c r="P67" s="222"/>
      <c r="Q67" s="125">
        <v>5</v>
      </c>
      <c r="R67" s="126"/>
      <c r="S67" s="127" t="str">
        <f t="shared" si="65"/>
        <v/>
      </c>
      <c r="T67" s="128"/>
      <c r="U67" s="128"/>
      <c r="V67" s="129" t="str">
        <f t="shared" si="62"/>
        <v/>
      </c>
      <c r="W67" s="128"/>
      <c r="X67" s="128"/>
      <c r="Y67" s="128"/>
      <c r="Z67" s="130" t="str">
        <f t="shared" si="66"/>
        <v/>
      </c>
      <c r="AA67" s="131" t="str">
        <f t="shared" si="1"/>
        <v/>
      </c>
      <c r="AB67" s="132" t="str">
        <f t="shared" si="63"/>
        <v/>
      </c>
      <c r="AC67" s="131" t="str">
        <f t="shared" si="3"/>
        <v/>
      </c>
      <c r="AD67" s="140" t="str">
        <f t="shared" si="67"/>
        <v/>
      </c>
      <c r="AE67" s="133" t="str">
        <f t="shared" ref="AE67:AE68" si="68">IFERROR(IF(OR(AND(AA67="Muy Baja",AC67="Leve"),AND(AA67="Muy Baja",AC67="Menor"),AND(AA67="Baja",AC67="Leve")),"Bajo",IF(OR(AND(AA67="Muy baja",AC67="Moderado"),AND(AA67="Baja",AC67="Menor"),AND(AA67="Baja",AC67="Moderado"),AND(AA67="Media",AC67="Leve"),AND(AA67="Media",AC67="Menor"),AND(AA67="Media",AC67="Moderado"),AND(AA67="Alta",AC67="Leve"),AND(AA67="Alta",AC67="Menor")),"Moderado",IF(OR(AND(AA67="Muy Baja",AC67="Mayor"),AND(AA67="Baja",AC67="Mayor"),AND(AA67="Media",AC67="Mayor"),AND(AA67="Alta",AC67="Moderado"),AND(AA67="Alta",AC67="Mayor"),AND(AA67="Muy Alta",AC67="Leve"),AND(AA67="Muy Alta",AC67="Menor"),AND(AA67="Muy Alta",AC67="Moderado"),AND(AA67="Muy Alta",AC67="Mayor")),"Alto",IF(OR(AND(AA67="Muy Baja",AC67="Catastrófico"),AND(AA67="Baja",AC67="Catastrófico"),AND(AA67="Media",AC67="Catastrófico"),AND(AA67="Alta",AC67="Catastrófico"),AND(AA67="Muy Alta",AC67="Catastrófico")),"Extremo","")))),"")</f>
        <v/>
      </c>
      <c r="AF67" s="134"/>
      <c r="AG67" s="135"/>
      <c r="AH67" s="136"/>
      <c r="AI67" s="137"/>
      <c r="AJ67" s="137"/>
      <c r="AK67" s="135"/>
      <c r="AL67" s="136"/>
    </row>
    <row r="68" spans="1:38" ht="151.5" customHeight="1" x14ac:dyDescent="0.3">
      <c r="A68" s="267"/>
      <c r="B68" s="226"/>
      <c r="C68" s="226"/>
      <c r="D68" s="143"/>
      <c r="E68" s="226"/>
      <c r="F68" s="270"/>
      <c r="G68" s="270"/>
      <c r="H68" s="226"/>
      <c r="I68" s="229"/>
      <c r="J68" s="232"/>
      <c r="K68" s="235"/>
      <c r="L68" s="238"/>
      <c r="M68" s="235">
        <f ca="1">IF(NOT(ISERROR(MATCH(L68,_xlfn.ANCHORARRAY(E79),0))),K81&amp;"Por favor no seleccionar los criterios de impacto",L68)</f>
        <v>0</v>
      </c>
      <c r="N68" s="232"/>
      <c r="O68" s="235"/>
      <c r="P68" s="223"/>
      <c r="Q68" s="125">
        <v>6</v>
      </c>
      <c r="R68" s="126"/>
      <c r="S68" s="127" t="str">
        <f t="shared" si="65"/>
        <v/>
      </c>
      <c r="T68" s="128"/>
      <c r="U68" s="128"/>
      <c r="V68" s="129" t="str">
        <f t="shared" si="62"/>
        <v/>
      </c>
      <c r="W68" s="128"/>
      <c r="X68" s="128"/>
      <c r="Y68" s="128"/>
      <c r="Z68" s="130" t="str">
        <f t="shared" si="66"/>
        <v/>
      </c>
      <c r="AA68" s="131" t="str">
        <f t="shared" si="1"/>
        <v/>
      </c>
      <c r="AB68" s="132" t="str">
        <f t="shared" si="63"/>
        <v/>
      </c>
      <c r="AC68" s="131" t="str">
        <f t="shared" si="3"/>
        <v/>
      </c>
      <c r="AD68" s="140" t="str">
        <f t="shared" si="67"/>
        <v/>
      </c>
      <c r="AE68" s="133" t="str">
        <f t="shared" si="68"/>
        <v/>
      </c>
      <c r="AF68" s="134"/>
      <c r="AG68" s="135"/>
      <c r="AH68" s="136"/>
      <c r="AI68" s="137"/>
      <c r="AJ68" s="137"/>
      <c r="AK68" s="135"/>
      <c r="AL68" s="136"/>
    </row>
    <row r="69" spans="1:38" ht="49.5" customHeight="1" x14ac:dyDescent="0.3">
      <c r="A69" s="6"/>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4"/>
    </row>
    <row r="71" spans="1:38" x14ac:dyDescent="0.3">
      <c r="A71" s="1"/>
      <c r="B71" s="24"/>
      <c r="C71" s="1"/>
      <c r="D71" s="1"/>
      <c r="F71" s="1"/>
      <c r="G71" s="1"/>
      <c r="H71" s="1"/>
    </row>
  </sheetData>
  <dataConsolidate/>
  <mergeCells count="189">
    <mergeCell ref="C4:P4"/>
    <mergeCell ref="P11:P14"/>
    <mergeCell ref="M11:M14"/>
    <mergeCell ref="N11:N14"/>
    <mergeCell ref="O11:O14"/>
    <mergeCell ref="A4:B4"/>
    <mergeCell ref="A5:B5"/>
    <mergeCell ref="C5:P5"/>
    <mergeCell ref="AD9:AD10"/>
    <mergeCell ref="Z9:Z10"/>
    <mergeCell ref="R9:R10"/>
    <mergeCell ref="AC9:AC10"/>
    <mergeCell ref="AA9:AA10"/>
    <mergeCell ref="AB9:AB10"/>
    <mergeCell ref="I9:I10"/>
    <mergeCell ref="J9:J10"/>
    <mergeCell ref="K9:K10"/>
    <mergeCell ref="N9:N10"/>
    <mergeCell ref="O9:O10"/>
    <mergeCell ref="P9:P10"/>
    <mergeCell ref="L9:L10"/>
    <mergeCell ref="M9:M10"/>
    <mergeCell ref="S9:S10"/>
    <mergeCell ref="T9:Y9"/>
    <mergeCell ref="M15:M20"/>
    <mergeCell ref="N15:N20"/>
    <mergeCell ref="O15:O20"/>
    <mergeCell ref="P15:P20"/>
    <mergeCell ref="A21:A26"/>
    <mergeCell ref="B21:B26"/>
    <mergeCell ref="E21:E26"/>
    <mergeCell ref="G21:G26"/>
    <mergeCell ref="H21:H26"/>
    <mergeCell ref="I21:I26"/>
    <mergeCell ref="J21:J26"/>
    <mergeCell ref="K21:K26"/>
    <mergeCell ref="L21:L26"/>
    <mergeCell ref="M21:M26"/>
    <mergeCell ref="N21:N26"/>
    <mergeCell ref="H15:H20"/>
    <mergeCell ref="I15:I20"/>
    <mergeCell ref="J15:J20"/>
    <mergeCell ref="K15:K20"/>
    <mergeCell ref="L15:L20"/>
    <mergeCell ref="A15:A20"/>
    <mergeCell ref="B15:B20"/>
    <mergeCell ref="E15:E20"/>
    <mergeCell ref="G15:G20"/>
    <mergeCell ref="H33:H38"/>
    <mergeCell ref="I33:I38"/>
    <mergeCell ref="J33:J38"/>
    <mergeCell ref="O21:O26"/>
    <mergeCell ref="P21:P26"/>
    <mergeCell ref="A27:A32"/>
    <mergeCell ref="B27:B32"/>
    <mergeCell ref="E27:E32"/>
    <mergeCell ref="G27:G32"/>
    <mergeCell ref="H27:H32"/>
    <mergeCell ref="I27:I32"/>
    <mergeCell ref="J27:J32"/>
    <mergeCell ref="K27:K32"/>
    <mergeCell ref="L27:L32"/>
    <mergeCell ref="M27:M32"/>
    <mergeCell ref="N27:N32"/>
    <mergeCell ref="O27:O32"/>
    <mergeCell ref="P27:P32"/>
    <mergeCell ref="K33:K38"/>
    <mergeCell ref="L33:L38"/>
    <mergeCell ref="A51:A56"/>
    <mergeCell ref="B51:B56"/>
    <mergeCell ref="E51:E56"/>
    <mergeCell ref="G51:G56"/>
    <mergeCell ref="A45:A50"/>
    <mergeCell ref="B45:B50"/>
    <mergeCell ref="E45:E50"/>
    <mergeCell ref="G45:G50"/>
    <mergeCell ref="O33:O38"/>
    <mergeCell ref="O39:O44"/>
    <mergeCell ref="L45:L50"/>
    <mergeCell ref="M45:M50"/>
    <mergeCell ref="N45:N50"/>
    <mergeCell ref="A33:A38"/>
    <mergeCell ref="B33:B38"/>
    <mergeCell ref="A39:A44"/>
    <mergeCell ref="B39:B44"/>
    <mergeCell ref="E39:E44"/>
    <mergeCell ref="G39:G44"/>
    <mergeCell ref="H39:H44"/>
    <mergeCell ref="E33:E38"/>
    <mergeCell ref="G33:G38"/>
    <mergeCell ref="L39:L44"/>
    <mergeCell ref="M39:M44"/>
    <mergeCell ref="I39:I44"/>
    <mergeCell ref="J39:J44"/>
    <mergeCell ref="K39:K44"/>
    <mergeCell ref="M33:M38"/>
    <mergeCell ref="N33:N38"/>
    <mergeCell ref="P33:P38"/>
    <mergeCell ref="P39:P44"/>
    <mergeCell ref="N39:N44"/>
    <mergeCell ref="B69:AL69"/>
    <mergeCell ref="O57:O62"/>
    <mergeCell ref="P57:P62"/>
    <mergeCell ref="M63:M68"/>
    <mergeCell ref="N63:N68"/>
    <mergeCell ref="O63:O68"/>
    <mergeCell ref="P63:P68"/>
    <mergeCell ref="L57:L62"/>
    <mergeCell ref="M57:M62"/>
    <mergeCell ref="N57:N62"/>
    <mergeCell ref="C51:C56"/>
    <mergeCell ref="C57:C62"/>
    <mergeCell ref="I57:I62"/>
    <mergeCell ref="J57:J62"/>
    <mergeCell ref="K57:K62"/>
    <mergeCell ref="O45:O50"/>
    <mergeCell ref="A63:A68"/>
    <mergeCell ref="B63:B68"/>
    <mergeCell ref="E63:E68"/>
    <mergeCell ref="G63:G68"/>
    <mergeCell ref="H63:H68"/>
    <mergeCell ref="I63:I68"/>
    <mergeCell ref="J63:J68"/>
    <mergeCell ref="K63:K68"/>
    <mergeCell ref="L63:L68"/>
    <mergeCell ref="C63:C68"/>
    <mergeCell ref="F63:F68"/>
    <mergeCell ref="A57:A62"/>
    <mergeCell ref="B57:B62"/>
    <mergeCell ref="E57:E62"/>
    <mergeCell ref="G57:G62"/>
    <mergeCell ref="H57:H62"/>
    <mergeCell ref="Q5:S5"/>
    <mergeCell ref="B9:B10"/>
    <mergeCell ref="D9:D10"/>
    <mergeCell ref="F9:F10"/>
    <mergeCell ref="C9:C10"/>
    <mergeCell ref="F15:F20"/>
    <mergeCell ref="F21:F26"/>
    <mergeCell ref="F27:F32"/>
    <mergeCell ref="F33:F38"/>
    <mergeCell ref="F39:F44"/>
    <mergeCell ref="F45:F50"/>
    <mergeCell ref="F51:F56"/>
    <mergeCell ref="F57:F62"/>
    <mergeCell ref="C15:C20"/>
    <mergeCell ref="C21:C26"/>
    <mergeCell ref="C27:C32"/>
    <mergeCell ref="C33:C38"/>
    <mergeCell ref="C39:C44"/>
    <mergeCell ref="C45:C50"/>
    <mergeCell ref="Q4:S4"/>
    <mergeCell ref="A1:AL2"/>
    <mergeCell ref="A8:I8"/>
    <mergeCell ref="J8:P8"/>
    <mergeCell ref="Q8:Y8"/>
    <mergeCell ref="Z8:AF8"/>
    <mergeCell ref="AG8:AL8"/>
    <mergeCell ref="AG9:AG10"/>
    <mergeCell ref="AL9:AL10"/>
    <mergeCell ref="AK9:AK10"/>
    <mergeCell ref="AJ9:AJ10"/>
    <mergeCell ref="AI9:AI10"/>
    <mergeCell ref="AH9:AH10"/>
    <mergeCell ref="A6:B6"/>
    <mergeCell ref="A7:B7"/>
    <mergeCell ref="A9:A10"/>
    <mergeCell ref="H9:H10"/>
    <mergeCell ref="G9:G10"/>
    <mergeCell ref="E9:E10"/>
    <mergeCell ref="AF9:AF10"/>
    <mergeCell ref="C6:P6"/>
    <mergeCell ref="C7:P7"/>
    <mergeCell ref="Q9:Q10"/>
    <mergeCell ref="AE9:AE10"/>
    <mergeCell ref="P45:P50"/>
    <mergeCell ref="H51:H56"/>
    <mergeCell ref="I51:I56"/>
    <mergeCell ref="J51:J56"/>
    <mergeCell ref="K51:K56"/>
    <mergeCell ref="L51:L56"/>
    <mergeCell ref="H45:H50"/>
    <mergeCell ref="I45:I50"/>
    <mergeCell ref="J45:J50"/>
    <mergeCell ref="K45:K50"/>
    <mergeCell ref="M51:M56"/>
    <mergeCell ref="N51:N56"/>
    <mergeCell ref="O51:O56"/>
    <mergeCell ref="P51:P56"/>
  </mergeCells>
  <conditionalFormatting sqref="J15 J11:J12 AA11:AA14">
    <cfRule type="cellIs" dxfId="217" priority="319" operator="equal">
      <formula>"Muy Alta"</formula>
    </cfRule>
    <cfRule type="cellIs" dxfId="216" priority="320" operator="equal">
      <formula>"Alta"</formula>
    </cfRule>
    <cfRule type="cellIs" dxfId="215" priority="321" operator="equal">
      <formula>"Media"</formula>
    </cfRule>
    <cfRule type="cellIs" dxfId="214" priority="322" operator="equal">
      <formula>"Baja"</formula>
    </cfRule>
    <cfRule type="cellIs" dxfId="213" priority="323" operator="equal">
      <formula>"Muy Baja"</formula>
    </cfRule>
  </conditionalFormatting>
  <conditionalFormatting sqref="N11 N15 N21 N27 N33 N39 N45 N51 N57 N63 AC11:AC14">
    <cfRule type="cellIs" dxfId="212" priority="314" operator="equal">
      <formula>"Catastrófico"</formula>
    </cfRule>
    <cfRule type="cellIs" dxfId="211" priority="315" operator="equal">
      <formula>"Mayor"</formula>
    </cfRule>
    <cfRule type="cellIs" dxfId="210" priority="316" operator="equal">
      <formula>"Moderado"</formula>
    </cfRule>
    <cfRule type="cellIs" dxfId="209" priority="317" operator="equal">
      <formula>"Menor"</formula>
    </cfRule>
    <cfRule type="cellIs" dxfId="208" priority="318" operator="equal">
      <formula>"Leve"</formula>
    </cfRule>
  </conditionalFormatting>
  <conditionalFormatting sqref="P11 AE11:AE14">
    <cfRule type="cellIs" dxfId="207" priority="310" operator="equal">
      <formula>"Extremo"</formula>
    </cfRule>
    <cfRule type="cellIs" dxfId="206" priority="311" operator="equal">
      <formula>"Alto"</formula>
    </cfRule>
    <cfRule type="cellIs" dxfId="205" priority="312" operator="equal">
      <formula>"Moderado"</formula>
    </cfRule>
    <cfRule type="cellIs" dxfId="204" priority="313" operator="equal">
      <formula>"Bajo"</formula>
    </cfRule>
  </conditionalFormatting>
  <conditionalFormatting sqref="J57">
    <cfRule type="cellIs" dxfId="203" priority="53" operator="equal">
      <formula>"Muy Alta"</formula>
    </cfRule>
    <cfRule type="cellIs" dxfId="202" priority="54" operator="equal">
      <formula>"Alta"</formula>
    </cfRule>
    <cfRule type="cellIs" dxfId="201" priority="55" operator="equal">
      <formula>"Media"</formula>
    </cfRule>
    <cfRule type="cellIs" dxfId="200" priority="56" operator="equal">
      <formula>"Baja"</formula>
    </cfRule>
    <cfRule type="cellIs" dxfId="199" priority="57" operator="equal">
      <formula>"Muy Baja"</formula>
    </cfRule>
  </conditionalFormatting>
  <conditionalFormatting sqref="P15">
    <cfRule type="cellIs" dxfId="198" priority="240" operator="equal">
      <formula>"Extremo"</formula>
    </cfRule>
    <cfRule type="cellIs" dxfId="197" priority="241" operator="equal">
      <formula>"Alto"</formula>
    </cfRule>
    <cfRule type="cellIs" dxfId="196" priority="242" operator="equal">
      <formula>"Moderado"</formula>
    </cfRule>
    <cfRule type="cellIs" dxfId="195" priority="243" operator="equal">
      <formula>"Bajo"</formula>
    </cfRule>
  </conditionalFormatting>
  <conditionalFormatting sqref="AA15:AA20">
    <cfRule type="cellIs" dxfId="194" priority="235" operator="equal">
      <formula>"Muy Alta"</formula>
    </cfRule>
    <cfRule type="cellIs" dxfId="193" priority="236" operator="equal">
      <formula>"Alta"</formula>
    </cfRule>
    <cfRule type="cellIs" dxfId="192" priority="237" operator="equal">
      <formula>"Media"</formula>
    </cfRule>
    <cfRule type="cellIs" dxfId="191" priority="238" operator="equal">
      <formula>"Baja"</formula>
    </cfRule>
    <cfRule type="cellIs" dxfId="190" priority="239" operator="equal">
      <formula>"Muy Baja"</formula>
    </cfRule>
  </conditionalFormatting>
  <conditionalFormatting sqref="AC15:AC20">
    <cfRule type="cellIs" dxfId="189" priority="230" operator="equal">
      <formula>"Catastrófico"</formula>
    </cfRule>
    <cfRule type="cellIs" dxfId="188" priority="231" operator="equal">
      <formula>"Mayor"</formula>
    </cfRule>
    <cfRule type="cellIs" dxfId="187" priority="232" operator="equal">
      <formula>"Moderado"</formula>
    </cfRule>
    <cfRule type="cellIs" dxfId="186" priority="233" operator="equal">
      <formula>"Menor"</formula>
    </cfRule>
    <cfRule type="cellIs" dxfId="185" priority="234" operator="equal">
      <formula>"Leve"</formula>
    </cfRule>
  </conditionalFormatting>
  <conditionalFormatting sqref="AE15:AE20">
    <cfRule type="cellIs" dxfId="184" priority="226" operator="equal">
      <formula>"Extremo"</formula>
    </cfRule>
    <cfRule type="cellIs" dxfId="183" priority="227" operator="equal">
      <formula>"Alto"</formula>
    </cfRule>
    <cfRule type="cellIs" dxfId="182" priority="228" operator="equal">
      <formula>"Moderado"</formula>
    </cfRule>
    <cfRule type="cellIs" dxfId="181" priority="229" operator="equal">
      <formula>"Bajo"</formula>
    </cfRule>
  </conditionalFormatting>
  <conditionalFormatting sqref="J21">
    <cfRule type="cellIs" dxfId="180" priority="221" operator="equal">
      <formula>"Muy Alta"</formula>
    </cfRule>
    <cfRule type="cellIs" dxfId="179" priority="222" operator="equal">
      <formula>"Alta"</formula>
    </cfRule>
    <cfRule type="cellIs" dxfId="178" priority="223" operator="equal">
      <formula>"Media"</formula>
    </cfRule>
    <cfRule type="cellIs" dxfId="177" priority="224" operator="equal">
      <formula>"Baja"</formula>
    </cfRule>
    <cfRule type="cellIs" dxfId="176" priority="225" operator="equal">
      <formula>"Muy Baja"</formula>
    </cfRule>
  </conditionalFormatting>
  <conditionalFormatting sqref="P21">
    <cfRule type="cellIs" dxfId="175" priority="212" operator="equal">
      <formula>"Extremo"</formula>
    </cfRule>
    <cfRule type="cellIs" dxfId="174" priority="213" operator="equal">
      <formula>"Alto"</formula>
    </cfRule>
    <cfRule type="cellIs" dxfId="173" priority="214" operator="equal">
      <formula>"Moderado"</formula>
    </cfRule>
    <cfRule type="cellIs" dxfId="172" priority="215" operator="equal">
      <formula>"Bajo"</formula>
    </cfRule>
  </conditionalFormatting>
  <conditionalFormatting sqref="AA21:AA26">
    <cfRule type="cellIs" dxfId="171" priority="207" operator="equal">
      <formula>"Muy Alta"</formula>
    </cfRule>
    <cfRule type="cellIs" dxfId="170" priority="208" operator="equal">
      <formula>"Alta"</formula>
    </cfRule>
    <cfRule type="cellIs" dxfId="169" priority="209" operator="equal">
      <formula>"Media"</formula>
    </cfRule>
    <cfRule type="cellIs" dxfId="168" priority="210" operator="equal">
      <formula>"Baja"</formula>
    </cfRule>
    <cfRule type="cellIs" dxfId="167" priority="211" operator="equal">
      <formula>"Muy Baja"</formula>
    </cfRule>
  </conditionalFormatting>
  <conditionalFormatting sqref="AC21:AC26">
    <cfRule type="cellIs" dxfId="166" priority="202" operator="equal">
      <formula>"Catastrófico"</formula>
    </cfRule>
    <cfRule type="cellIs" dxfId="165" priority="203" operator="equal">
      <formula>"Mayor"</formula>
    </cfRule>
    <cfRule type="cellIs" dxfId="164" priority="204" operator="equal">
      <formula>"Moderado"</formula>
    </cfRule>
    <cfRule type="cellIs" dxfId="163" priority="205" operator="equal">
      <formula>"Menor"</formula>
    </cfRule>
    <cfRule type="cellIs" dxfId="162" priority="206" operator="equal">
      <formula>"Leve"</formula>
    </cfRule>
  </conditionalFormatting>
  <conditionalFormatting sqref="AE21:AE26">
    <cfRule type="cellIs" dxfId="161" priority="198" operator="equal">
      <formula>"Extremo"</formula>
    </cfRule>
    <cfRule type="cellIs" dxfId="160" priority="199" operator="equal">
      <formula>"Alto"</formula>
    </cfRule>
    <cfRule type="cellIs" dxfId="159" priority="200" operator="equal">
      <formula>"Moderado"</formula>
    </cfRule>
    <cfRule type="cellIs" dxfId="158" priority="201" operator="equal">
      <formula>"Bajo"</formula>
    </cfRule>
  </conditionalFormatting>
  <conditionalFormatting sqref="J27">
    <cfRule type="cellIs" dxfId="157" priority="193" operator="equal">
      <formula>"Muy Alta"</formula>
    </cfRule>
    <cfRule type="cellIs" dxfId="156" priority="194" operator="equal">
      <formula>"Alta"</formula>
    </cfRule>
    <cfRule type="cellIs" dxfId="155" priority="195" operator="equal">
      <formula>"Media"</formula>
    </cfRule>
    <cfRule type="cellIs" dxfId="154" priority="196" operator="equal">
      <formula>"Baja"</formula>
    </cfRule>
    <cfRule type="cellIs" dxfId="153" priority="197" operator="equal">
      <formula>"Muy Baja"</formula>
    </cfRule>
  </conditionalFormatting>
  <conditionalFormatting sqref="P27">
    <cfRule type="cellIs" dxfId="152" priority="184" operator="equal">
      <formula>"Extremo"</formula>
    </cfRule>
    <cfRule type="cellIs" dxfId="151" priority="185" operator="equal">
      <formula>"Alto"</formula>
    </cfRule>
    <cfRule type="cellIs" dxfId="150" priority="186" operator="equal">
      <formula>"Moderado"</formula>
    </cfRule>
    <cfRule type="cellIs" dxfId="149" priority="187" operator="equal">
      <formula>"Bajo"</formula>
    </cfRule>
  </conditionalFormatting>
  <conditionalFormatting sqref="AA27:AA32">
    <cfRule type="cellIs" dxfId="148" priority="179" operator="equal">
      <formula>"Muy Alta"</formula>
    </cfRule>
    <cfRule type="cellIs" dxfId="147" priority="180" operator="equal">
      <formula>"Alta"</formula>
    </cfRule>
    <cfRule type="cellIs" dxfId="146" priority="181" operator="equal">
      <formula>"Media"</formula>
    </cfRule>
    <cfRule type="cellIs" dxfId="145" priority="182" operator="equal">
      <formula>"Baja"</formula>
    </cfRule>
    <cfRule type="cellIs" dxfId="144" priority="183" operator="equal">
      <formula>"Muy Baja"</formula>
    </cfRule>
  </conditionalFormatting>
  <conditionalFormatting sqref="AC27:AC32">
    <cfRule type="cellIs" dxfId="143" priority="174" operator="equal">
      <formula>"Catastrófico"</formula>
    </cfRule>
    <cfRule type="cellIs" dxfId="142" priority="175" operator="equal">
      <formula>"Mayor"</formula>
    </cfRule>
    <cfRule type="cellIs" dxfId="141" priority="176" operator="equal">
      <formula>"Moderado"</formula>
    </cfRule>
    <cfRule type="cellIs" dxfId="140" priority="177" operator="equal">
      <formula>"Menor"</formula>
    </cfRule>
    <cfRule type="cellIs" dxfId="139" priority="178" operator="equal">
      <formula>"Leve"</formula>
    </cfRule>
  </conditionalFormatting>
  <conditionalFormatting sqref="AE27:AE32">
    <cfRule type="cellIs" dxfId="138" priority="170" operator="equal">
      <formula>"Extremo"</formula>
    </cfRule>
    <cfRule type="cellIs" dxfId="137" priority="171" operator="equal">
      <formula>"Alto"</formula>
    </cfRule>
    <cfRule type="cellIs" dxfId="136" priority="172" operator="equal">
      <formula>"Moderado"</formula>
    </cfRule>
    <cfRule type="cellIs" dxfId="135" priority="173" operator="equal">
      <formula>"Bajo"</formula>
    </cfRule>
  </conditionalFormatting>
  <conditionalFormatting sqref="J33">
    <cfRule type="cellIs" dxfId="134" priority="165" operator="equal">
      <formula>"Muy Alta"</formula>
    </cfRule>
    <cfRule type="cellIs" dxfId="133" priority="166" operator="equal">
      <formula>"Alta"</formula>
    </cfRule>
    <cfRule type="cellIs" dxfId="132" priority="167" operator="equal">
      <formula>"Media"</formula>
    </cfRule>
    <cfRule type="cellIs" dxfId="131" priority="168" operator="equal">
      <formula>"Baja"</formula>
    </cfRule>
    <cfRule type="cellIs" dxfId="130" priority="169" operator="equal">
      <formula>"Muy Baja"</formula>
    </cfRule>
  </conditionalFormatting>
  <conditionalFormatting sqref="P33">
    <cfRule type="cellIs" dxfId="129" priority="156" operator="equal">
      <formula>"Extremo"</formula>
    </cfRule>
    <cfRule type="cellIs" dxfId="128" priority="157" operator="equal">
      <formula>"Alto"</formula>
    </cfRule>
    <cfRule type="cellIs" dxfId="127" priority="158" operator="equal">
      <formula>"Moderado"</formula>
    </cfRule>
    <cfRule type="cellIs" dxfId="126" priority="159" operator="equal">
      <formula>"Bajo"</formula>
    </cfRule>
  </conditionalFormatting>
  <conditionalFormatting sqref="AA33:AA38">
    <cfRule type="cellIs" dxfId="125" priority="151" operator="equal">
      <formula>"Muy Alta"</formula>
    </cfRule>
    <cfRule type="cellIs" dxfId="124" priority="152" operator="equal">
      <formula>"Alta"</formula>
    </cfRule>
    <cfRule type="cellIs" dxfId="123" priority="153" operator="equal">
      <formula>"Media"</formula>
    </cfRule>
    <cfRule type="cellIs" dxfId="122" priority="154" operator="equal">
      <formula>"Baja"</formula>
    </cfRule>
    <cfRule type="cellIs" dxfId="121" priority="155" operator="equal">
      <formula>"Muy Baja"</formula>
    </cfRule>
  </conditionalFormatting>
  <conditionalFormatting sqref="AC33:AC38">
    <cfRule type="cellIs" dxfId="120" priority="146" operator="equal">
      <formula>"Catastrófico"</formula>
    </cfRule>
    <cfRule type="cellIs" dxfId="119" priority="147" operator="equal">
      <formula>"Mayor"</formula>
    </cfRule>
    <cfRule type="cellIs" dxfId="118" priority="148" operator="equal">
      <formula>"Moderado"</formula>
    </cfRule>
    <cfRule type="cellIs" dxfId="117" priority="149" operator="equal">
      <formula>"Menor"</formula>
    </cfRule>
    <cfRule type="cellIs" dxfId="116" priority="150" operator="equal">
      <formula>"Leve"</formula>
    </cfRule>
  </conditionalFormatting>
  <conditionalFormatting sqref="AE33:AE38">
    <cfRule type="cellIs" dxfId="115" priority="142" operator="equal">
      <formula>"Extremo"</formula>
    </cfRule>
    <cfRule type="cellIs" dxfId="114" priority="143" operator="equal">
      <formula>"Alto"</formula>
    </cfRule>
    <cfRule type="cellIs" dxfId="113" priority="144" operator="equal">
      <formula>"Moderado"</formula>
    </cfRule>
    <cfRule type="cellIs" dxfId="112" priority="145" operator="equal">
      <formula>"Bajo"</formula>
    </cfRule>
  </conditionalFormatting>
  <conditionalFormatting sqref="J39">
    <cfRule type="cellIs" dxfId="111" priority="137" operator="equal">
      <formula>"Muy Alta"</formula>
    </cfRule>
    <cfRule type="cellIs" dxfId="110" priority="138" operator="equal">
      <formula>"Alta"</formula>
    </cfRule>
    <cfRule type="cellIs" dxfId="109" priority="139" operator="equal">
      <formula>"Media"</formula>
    </cfRule>
    <cfRule type="cellIs" dxfId="108" priority="140" operator="equal">
      <formula>"Baja"</formula>
    </cfRule>
    <cfRule type="cellIs" dxfId="107" priority="141" operator="equal">
      <formula>"Muy Baja"</formula>
    </cfRule>
  </conditionalFormatting>
  <conditionalFormatting sqref="P39">
    <cfRule type="cellIs" dxfId="106" priority="128" operator="equal">
      <formula>"Extremo"</formula>
    </cfRule>
    <cfRule type="cellIs" dxfId="105" priority="129" operator="equal">
      <formula>"Alto"</formula>
    </cfRule>
    <cfRule type="cellIs" dxfId="104" priority="130" operator="equal">
      <formula>"Moderado"</formula>
    </cfRule>
    <cfRule type="cellIs" dxfId="103" priority="131" operator="equal">
      <formula>"Bajo"</formula>
    </cfRule>
  </conditionalFormatting>
  <conditionalFormatting sqref="AA39:AA44">
    <cfRule type="cellIs" dxfId="102" priority="123" operator="equal">
      <formula>"Muy Alta"</formula>
    </cfRule>
    <cfRule type="cellIs" dxfId="101" priority="124" operator="equal">
      <formula>"Alta"</formula>
    </cfRule>
    <cfRule type="cellIs" dxfId="100" priority="125" operator="equal">
      <formula>"Media"</formula>
    </cfRule>
    <cfRule type="cellIs" dxfId="99" priority="126" operator="equal">
      <formula>"Baja"</formula>
    </cfRule>
    <cfRule type="cellIs" dxfId="98" priority="127" operator="equal">
      <formula>"Muy Baja"</formula>
    </cfRule>
  </conditionalFormatting>
  <conditionalFormatting sqref="AC39:AC44">
    <cfRule type="cellIs" dxfId="97" priority="118" operator="equal">
      <formula>"Catastrófico"</formula>
    </cfRule>
    <cfRule type="cellIs" dxfId="96" priority="119" operator="equal">
      <formula>"Mayor"</formula>
    </cfRule>
    <cfRule type="cellIs" dxfId="95" priority="120" operator="equal">
      <formula>"Moderado"</formula>
    </cfRule>
    <cfRule type="cellIs" dxfId="94" priority="121" operator="equal">
      <formula>"Menor"</formula>
    </cfRule>
    <cfRule type="cellIs" dxfId="93" priority="122" operator="equal">
      <formula>"Leve"</formula>
    </cfRule>
  </conditionalFormatting>
  <conditionalFormatting sqref="AE39:AE44">
    <cfRule type="cellIs" dxfId="92" priority="114" operator="equal">
      <formula>"Extremo"</formula>
    </cfRule>
    <cfRule type="cellIs" dxfId="91" priority="115" operator="equal">
      <formula>"Alto"</formula>
    </cfRule>
    <cfRule type="cellIs" dxfId="90" priority="116" operator="equal">
      <formula>"Moderado"</formula>
    </cfRule>
    <cfRule type="cellIs" dxfId="89" priority="117" operator="equal">
      <formula>"Bajo"</formula>
    </cfRule>
  </conditionalFormatting>
  <conditionalFormatting sqref="J45">
    <cfRule type="cellIs" dxfId="88" priority="109" operator="equal">
      <formula>"Muy Alta"</formula>
    </cfRule>
    <cfRule type="cellIs" dxfId="87" priority="110" operator="equal">
      <formula>"Alta"</formula>
    </cfRule>
    <cfRule type="cellIs" dxfId="86" priority="111" operator="equal">
      <formula>"Media"</formula>
    </cfRule>
    <cfRule type="cellIs" dxfId="85" priority="112" operator="equal">
      <formula>"Baja"</formula>
    </cfRule>
    <cfRule type="cellIs" dxfId="84" priority="113" operator="equal">
      <formula>"Muy Baja"</formula>
    </cfRule>
  </conditionalFormatting>
  <conditionalFormatting sqref="P45">
    <cfRule type="cellIs" dxfId="83" priority="100" operator="equal">
      <formula>"Extremo"</formula>
    </cfRule>
    <cfRule type="cellIs" dxfId="82" priority="101" operator="equal">
      <formula>"Alto"</formula>
    </cfRule>
    <cfRule type="cellIs" dxfId="81" priority="102" operator="equal">
      <formula>"Moderado"</formula>
    </cfRule>
    <cfRule type="cellIs" dxfId="80" priority="103" operator="equal">
      <formula>"Bajo"</formula>
    </cfRule>
  </conditionalFormatting>
  <conditionalFormatting sqref="AA45:AA50">
    <cfRule type="cellIs" dxfId="79" priority="95" operator="equal">
      <formula>"Muy Alta"</formula>
    </cfRule>
    <cfRule type="cellIs" dxfId="78" priority="96" operator="equal">
      <formula>"Alta"</formula>
    </cfRule>
    <cfRule type="cellIs" dxfId="77" priority="97" operator="equal">
      <formula>"Media"</formula>
    </cfRule>
    <cfRule type="cellIs" dxfId="76" priority="98" operator="equal">
      <formula>"Baja"</formula>
    </cfRule>
    <cfRule type="cellIs" dxfId="75" priority="99" operator="equal">
      <formula>"Muy Baja"</formula>
    </cfRule>
  </conditionalFormatting>
  <conditionalFormatting sqref="AC45:AC50">
    <cfRule type="cellIs" dxfId="74" priority="90" operator="equal">
      <formula>"Catastrófico"</formula>
    </cfRule>
    <cfRule type="cellIs" dxfId="73" priority="91" operator="equal">
      <formula>"Mayor"</formula>
    </cfRule>
    <cfRule type="cellIs" dxfId="72" priority="92" operator="equal">
      <formula>"Moderado"</formula>
    </cfRule>
    <cfRule type="cellIs" dxfId="71" priority="93" operator="equal">
      <formula>"Menor"</formula>
    </cfRule>
    <cfRule type="cellIs" dxfId="70" priority="94" operator="equal">
      <formula>"Leve"</formula>
    </cfRule>
  </conditionalFormatting>
  <conditionalFormatting sqref="AE45:AE50">
    <cfRule type="cellIs" dxfId="69" priority="86" operator="equal">
      <formula>"Extremo"</formula>
    </cfRule>
    <cfRule type="cellIs" dxfId="68" priority="87" operator="equal">
      <formula>"Alto"</formula>
    </cfRule>
    <cfRule type="cellIs" dxfId="67" priority="88" operator="equal">
      <formula>"Moderado"</formula>
    </cfRule>
    <cfRule type="cellIs" dxfId="66" priority="89" operator="equal">
      <formula>"Bajo"</formula>
    </cfRule>
  </conditionalFormatting>
  <conditionalFormatting sqref="J51">
    <cfRule type="cellIs" dxfId="65" priority="81" operator="equal">
      <formula>"Muy Alta"</formula>
    </cfRule>
    <cfRule type="cellIs" dxfId="64" priority="82" operator="equal">
      <formula>"Alta"</formula>
    </cfRule>
    <cfRule type="cellIs" dxfId="63" priority="83" operator="equal">
      <formula>"Media"</formula>
    </cfRule>
    <cfRule type="cellIs" dxfId="62" priority="84" operator="equal">
      <formula>"Baja"</formula>
    </cfRule>
    <cfRule type="cellIs" dxfId="61" priority="85" operator="equal">
      <formula>"Muy Baja"</formula>
    </cfRule>
  </conditionalFormatting>
  <conditionalFormatting sqref="P51">
    <cfRule type="cellIs" dxfId="60" priority="72" operator="equal">
      <formula>"Extremo"</formula>
    </cfRule>
    <cfRule type="cellIs" dxfId="59" priority="73" operator="equal">
      <formula>"Alto"</formula>
    </cfRule>
    <cfRule type="cellIs" dxfId="58" priority="74" operator="equal">
      <formula>"Moderado"</formula>
    </cfRule>
    <cfRule type="cellIs" dxfId="57" priority="75" operator="equal">
      <formula>"Bajo"</formula>
    </cfRule>
  </conditionalFormatting>
  <conditionalFormatting sqref="AA51:AA56">
    <cfRule type="cellIs" dxfId="56" priority="67" operator="equal">
      <formula>"Muy Alta"</formula>
    </cfRule>
    <cfRule type="cellIs" dxfId="55" priority="68" operator="equal">
      <formula>"Alta"</formula>
    </cfRule>
    <cfRule type="cellIs" dxfId="54" priority="69" operator="equal">
      <formula>"Media"</formula>
    </cfRule>
    <cfRule type="cellIs" dxfId="53" priority="70" operator="equal">
      <formula>"Baja"</formula>
    </cfRule>
    <cfRule type="cellIs" dxfId="52" priority="71" operator="equal">
      <formula>"Muy Baja"</formula>
    </cfRule>
  </conditionalFormatting>
  <conditionalFormatting sqref="AC51:AC56">
    <cfRule type="cellIs" dxfId="51" priority="62" operator="equal">
      <formula>"Catastrófico"</formula>
    </cfRule>
    <cfRule type="cellIs" dxfId="50" priority="63" operator="equal">
      <formula>"Mayor"</formula>
    </cfRule>
    <cfRule type="cellIs" dxfId="49" priority="64" operator="equal">
      <formula>"Moderado"</formula>
    </cfRule>
    <cfRule type="cellIs" dxfId="48" priority="65" operator="equal">
      <formula>"Menor"</formula>
    </cfRule>
    <cfRule type="cellIs" dxfId="47" priority="66" operator="equal">
      <formula>"Leve"</formula>
    </cfRule>
  </conditionalFormatting>
  <conditionalFormatting sqref="AE51:AE56">
    <cfRule type="cellIs" dxfId="46" priority="58" operator="equal">
      <formula>"Extremo"</formula>
    </cfRule>
    <cfRule type="cellIs" dxfId="45" priority="59" operator="equal">
      <formula>"Alto"</formula>
    </cfRule>
    <cfRule type="cellIs" dxfId="44" priority="60" operator="equal">
      <formula>"Moderado"</formula>
    </cfRule>
    <cfRule type="cellIs" dxfId="43" priority="61" operator="equal">
      <formula>"Bajo"</formula>
    </cfRule>
  </conditionalFormatting>
  <conditionalFormatting sqref="P57">
    <cfRule type="cellIs" dxfId="42" priority="44" operator="equal">
      <formula>"Extremo"</formula>
    </cfRule>
    <cfRule type="cellIs" dxfId="41" priority="45" operator="equal">
      <formula>"Alto"</formula>
    </cfRule>
    <cfRule type="cellIs" dxfId="40" priority="46" operator="equal">
      <formula>"Moderado"</formula>
    </cfRule>
    <cfRule type="cellIs" dxfId="39" priority="47" operator="equal">
      <formula>"Bajo"</formula>
    </cfRule>
  </conditionalFormatting>
  <conditionalFormatting sqref="AA57:AA62">
    <cfRule type="cellIs" dxfId="38" priority="39" operator="equal">
      <formula>"Muy Alta"</formula>
    </cfRule>
    <cfRule type="cellIs" dxfId="37" priority="40" operator="equal">
      <formula>"Alta"</formula>
    </cfRule>
    <cfRule type="cellIs" dxfId="36" priority="41" operator="equal">
      <formula>"Media"</formula>
    </cfRule>
    <cfRule type="cellIs" dxfId="35" priority="42" operator="equal">
      <formula>"Baja"</formula>
    </cfRule>
    <cfRule type="cellIs" dxfId="34" priority="43" operator="equal">
      <formula>"Muy Baja"</formula>
    </cfRule>
  </conditionalFormatting>
  <conditionalFormatting sqref="AC57:AC62">
    <cfRule type="cellIs" dxfId="33" priority="34" operator="equal">
      <formula>"Catastrófico"</formula>
    </cfRule>
    <cfRule type="cellIs" dxfId="32" priority="35" operator="equal">
      <formula>"Mayor"</formula>
    </cfRule>
    <cfRule type="cellIs" dxfId="31" priority="36" operator="equal">
      <formula>"Moderado"</formula>
    </cfRule>
    <cfRule type="cellIs" dxfId="30" priority="37" operator="equal">
      <formula>"Menor"</formula>
    </cfRule>
    <cfRule type="cellIs" dxfId="29" priority="38" operator="equal">
      <formula>"Leve"</formula>
    </cfRule>
  </conditionalFormatting>
  <conditionalFormatting sqref="AE57:AE62">
    <cfRule type="cellIs" dxfId="28" priority="30" operator="equal">
      <formula>"Extremo"</formula>
    </cfRule>
    <cfRule type="cellIs" dxfId="27" priority="31" operator="equal">
      <formula>"Alto"</formula>
    </cfRule>
    <cfRule type="cellIs" dxfId="26" priority="32" operator="equal">
      <formula>"Moderado"</formula>
    </cfRule>
    <cfRule type="cellIs" dxfId="25" priority="33" operator="equal">
      <formula>"Bajo"</formula>
    </cfRule>
  </conditionalFormatting>
  <conditionalFormatting sqref="J63">
    <cfRule type="cellIs" dxfId="24" priority="25" operator="equal">
      <formula>"Muy Alta"</formula>
    </cfRule>
    <cfRule type="cellIs" dxfId="23" priority="26" operator="equal">
      <formula>"Alta"</formula>
    </cfRule>
    <cfRule type="cellIs" dxfId="22" priority="27" operator="equal">
      <formula>"Media"</formula>
    </cfRule>
    <cfRule type="cellIs" dxfId="21" priority="28" operator="equal">
      <formula>"Baja"</formula>
    </cfRule>
    <cfRule type="cellIs" dxfId="20" priority="29" operator="equal">
      <formula>"Muy Baja"</formula>
    </cfRule>
  </conditionalFormatting>
  <conditionalFormatting sqref="P63">
    <cfRule type="cellIs" dxfId="19" priority="16" operator="equal">
      <formula>"Extremo"</formula>
    </cfRule>
    <cfRule type="cellIs" dxfId="18" priority="17" operator="equal">
      <formula>"Alto"</formula>
    </cfRule>
    <cfRule type="cellIs" dxfId="17" priority="18" operator="equal">
      <formula>"Moderado"</formula>
    </cfRule>
    <cfRule type="cellIs" dxfId="16" priority="19" operator="equal">
      <formula>"Bajo"</formula>
    </cfRule>
  </conditionalFormatting>
  <conditionalFormatting sqref="AA63:AA68">
    <cfRule type="cellIs" dxfId="15" priority="11" operator="equal">
      <formula>"Muy Alta"</formula>
    </cfRule>
    <cfRule type="cellIs" dxfId="14" priority="12" operator="equal">
      <formula>"Alta"</formula>
    </cfRule>
    <cfRule type="cellIs" dxfId="13" priority="13" operator="equal">
      <formula>"Media"</formula>
    </cfRule>
    <cfRule type="cellIs" dxfId="12" priority="14" operator="equal">
      <formula>"Baja"</formula>
    </cfRule>
    <cfRule type="cellIs" dxfId="11" priority="15" operator="equal">
      <formula>"Muy Baja"</formula>
    </cfRule>
  </conditionalFormatting>
  <conditionalFormatting sqref="AC63:AC68">
    <cfRule type="cellIs" dxfId="10" priority="6" operator="equal">
      <formula>"Catastrófico"</formula>
    </cfRule>
    <cfRule type="cellIs" dxfId="9" priority="7" operator="equal">
      <formula>"Mayor"</formula>
    </cfRule>
    <cfRule type="cellIs" dxfId="8" priority="8" operator="equal">
      <formula>"Moderado"</formula>
    </cfRule>
    <cfRule type="cellIs" dxfId="7" priority="9" operator="equal">
      <formula>"Menor"</formula>
    </cfRule>
    <cfRule type="cellIs" dxfId="6" priority="10" operator="equal">
      <formula>"Leve"</formula>
    </cfRule>
  </conditionalFormatting>
  <conditionalFormatting sqref="AE63:AE68">
    <cfRule type="cellIs" dxfId="5" priority="2" operator="equal">
      <formula>"Extremo"</formula>
    </cfRule>
    <cfRule type="cellIs" dxfId="4" priority="3" operator="equal">
      <formula>"Alto"</formula>
    </cfRule>
    <cfRule type="cellIs" dxfId="3" priority="4" operator="equal">
      <formula>"Moderado"</formula>
    </cfRule>
    <cfRule type="cellIs" dxfId="2" priority="5" operator="equal">
      <formula>"Bajo"</formula>
    </cfRule>
  </conditionalFormatting>
  <conditionalFormatting sqref="M11:M68">
    <cfRule type="containsText" dxfId="1" priority="1" operator="containsText" text="❌">
      <formula>NOT(ISERROR(SEARCH("❌",M11)))</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5C88D54C-BF7C-4FF9-A2A0-F50ED371D24C}">
          <x14:formula1>
            <xm:f>Procesos!$D$16:$D$22</xm:f>
          </x14:formula1>
          <xm:sqref>B11:C11 B15:C15 B21:C21 B27:C27 B33:C33 B39:C39 B45:C45 B51:C51 B57:C57 B63:C63 B12 C12</xm:sqref>
        </x14:dataValidation>
        <x14:dataValidation type="list" allowBlank="1" showInputMessage="1" showErrorMessage="1" xr:uid="{49822513-488E-4C03-9807-C121B307AB2C}">
          <x14:formula1>
            <xm:f>Procesos!$E$2:$E$24</xm:f>
          </x14:formula1>
          <xm:sqref>C5:P5</xm:sqref>
        </x14:dataValidation>
        <x14:dataValidation type="list" allowBlank="1" showInputMessage="1" showErrorMessage="1" xr:uid="{B105C94B-79A5-45B0-B081-EFEC779F0DA9}">
          <x14:formula1>
            <xm:f>Procesos!$A$2:$A$17</xm:f>
          </x14:formula1>
          <xm:sqref>C4:P4</xm:sqref>
        </x14:dataValidation>
        <x14:dataValidation type="list" allowBlank="1" showInputMessage="1" showErrorMessage="1" xr:uid="{00000000-0002-0000-0100-000000000000}">
          <x14:formula1>
            <xm:f>'Tabla Valoración controles'!$D$4:$D$6</xm:f>
          </x14:formula1>
          <xm:sqref>T11:T68</xm:sqref>
        </x14:dataValidation>
        <x14:dataValidation type="list" allowBlank="1" showInputMessage="1" showErrorMessage="1" xr:uid="{00000000-0002-0000-0100-000001000000}">
          <x14:formula1>
            <xm:f>'Tabla Valoración controles'!$D$7:$D$8</xm:f>
          </x14:formula1>
          <xm:sqref>U11:U68</xm:sqref>
        </x14:dataValidation>
        <x14:dataValidation type="list" allowBlank="1" showInputMessage="1" showErrorMessage="1" xr:uid="{00000000-0002-0000-0100-000002000000}">
          <x14:formula1>
            <xm:f>'Tabla Valoración controles'!$D$9:$D$10</xm:f>
          </x14:formula1>
          <xm:sqref>W11:W68</xm:sqref>
        </x14:dataValidation>
        <x14:dataValidation type="list" allowBlank="1" showInputMessage="1" showErrorMessage="1" xr:uid="{00000000-0002-0000-0100-000003000000}">
          <x14:formula1>
            <xm:f>'Tabla Valoración controles'!$D$11:$D$12</xm:f>
          </x14:formula1>
          <xm:sqref>X11:X68</xm:sqref>
        </x14:dataValidation>
        <x14:dataValidation type="list" allowBlank="1" showInputMessage="1" showErrorMessage="1" xr:uid="{00000000-0002-0000-0100-000005000000}">
          <x14:formula1>
            <xm:f>'Tabla Valoración controles'!$D$13:$D$14</xm:f>
          </x14:formula1>
          <xm:sqref>Y11:Y68</xm:sqref>
        </x14:dataValidation>
        <x14:dataValidation type="list" allowBlank="1" showInputMessage="1" showErrorMessage="1" xr:uid="{00000000-0002-0000-0100-000007000000}">
          <x14:formula1>
            <xm:f>'Opciones Tratamiento'!$E$2:$E$4</xm:f>
          </x14:formula1>
          <xm:sqref>C11:C68</xm:sqref>
        </x14:dataValidation>
        <x14:dataValidation type="list" allowBlank="1" showInputMessage="1" showErrorMessage="1" xr:uid="{00000000-0002-0000-0100-000008000000}">
          <x14:formula1>
            <xm:f>'Opciones Tratamiento'!$B$2:$B$5</xm:f>
          </x14:formula1>
          <xm:sqref>AF11:AF68</xm:sqref>
        </x14:dataValidation>
        <x14:dataValidation type="list" allowBlank="1" showInputMessage="1" showErrorMessage="1" xr:uid="{00000000-0002-0000-0100-000009000000}">
          <x14:formula1>
            <xm:f>'Tabla Impacto'!$F$210:$F$221</xm:f>
          </x14:formula1>
          <xm:sqref>L11:L68</xm:sqref>
        </x14:dataValidation>
        <x14:dataValidation type="custom" allowBlank="1" showInputMessage="1" showErrorMessage="1" error="Recuerde que las acciones se generan bajo la medida de mitigar el riesgo" xr:uid="{00000000-0002-0000-0100-00000A000000}">
          <x14:formula1>
            <xm:f>IF(OR(AF11='Opciones Tratamiento'!$B$2,AF11='Opciones Tratamiento'!$B$3,AF11='Opciones Tratamiento'!$B$4),ISBLANK(AF11),ISTEXT(AF11))</xm:f>
          </x14:formula1>
          <xm:sqref>AG11:AG68</xm:sqref>
        </x14:dataValidation>
        <x14:dataValidation type="custom" allowBlank="1" showInputMessage="1" showErrorMessage="1" error="Recuerde que las acciones se generan bajo la medida de mitigar el riesgo" xr:uid="{00000000-0002-0000-0100-00000B000000}">
          <x14:formula1>
            <xm:f>IF(OR(AF11='Opciones Tratamiento'!$B$2,AF11='Opciones Tratamiento'!$B$3,AF11='Opciones Tratamiento'!$B$4),ISBLANK(AF11),ISTEXT(AF11))</xm:f>
          </x14:formula1>
          <xm:sqref>AH11:AH68</xm:sqref>
        </x14:dataValidation>
        <x14:dataValidation type="custom" allowBlank="1" showInputMessage="1" showErrorMessage="1" error="Recuerde que las acciones se generan bajo la medida de mitigar el riesgo" xr:uid="{00000000-0002-0000-0100-00000C000000}">
          <x14:formula1>
            <xm:f>IF(OR(AF11='Opciones Tratamiento'!$B$2,AF11='Opciones Tratamiento'!$B$3,AF11='Opciones Tratamiento'!$B$4),ISBLANK(AF11),ISTEXT(AF11))</xm:f>
          </x14:formula1>
          <xm:sqref>AI11:AI68</xm:sqref>
        </x14:dataValidation>
        <x14:dataValidation type="custom" allowBlank="1" showInputMessage="1" showErrorMessage="1" error="Recuerde que las acciones se generan bajo la medida de mitigar el riesgo" xr:uid="{00000000-0002-0000-0100-00000D000000}">
          <x14:formula1>
            <xm:f>IF(OR(AF11='Opciones Tratamiento'!$B$2,AF11='Opciones Tratamiento'!$B$3,AF11='Opciones Tratamiento'!$B$4),ISBLANK(AF11),ISTEXT(AF11))</xm:f>
          </x14:formula1>
          <xm:sqref>AJ11:AJ68</xm:sqref>
        </x14:dataValidation>
        <x14:dataValidation type="custom" allowBlank="1" showInputMessage="1" showErrorMessage="1" error="Recuerde que las acciones se generan bajo la medida de mitigar el riesgo" xr:uid="{00000000-0002-0000-0100-00000E000000}">
          <x14:formula1>
            <xm:f>IF(OR(AF11='Opciones Tratamiento'!$B$2,AF11='Opciones Tratamiento'!$B$3,AF11='Opciones Tratamiento'!$B$4),ISBLANK(AF11),ISTEXT(AF11))</xm:f>
          </x14:formula1>
          <xm:sqref>AK11:AK68</xm:sqref>
        </x14:dataValidation>
        <x14:dataValidation type="list" allowBlank="1" showInputMessage="1" showErrorMessage="1" xr:uid="{1C5F2A9A-4B97-435B-AD1A-BB8C8F8B7B54}">
          <x14:formula1>
            <xm:f>'Tabla Impacto'!$D$229:$D$237</xm:f>
          </x14:formula1>
          <xm:sqref>F11:F14</xm:sqref>
        </x14:dataValidation>
        <x14:dataValidation type="list" allowBlank="1" showInputMessage="1" showErrorMessage="1" xr:uid="{387A4BF1-A15E-4650-B26D-7FD194908927}">
          <x14:formula1>
            <xm:f>'Opciones Tratamiento'!$B$9:$B$11</xm:f>
          </x14:formula1>
          <xm:sqref>AL11:AL68</xm:sqref>
        </x14:dataValidation>
        <x14:dataValidation type="list" allowBlank="1" showInputMessage="1" showErrorMessage="1" xr:uid="{00000000-0002-0000-0100-000006000000}">
          <x14:formula1>
            <xm:f>'Opciones Tratamiento'!$B$13:$B$19</xm:f>
          </x14:formula1>
          <xm:sqref>H11:H68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12" sqref="J12:K13"/>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69" t="s">
        <v>144</v>
      </c>
      <c r="C2" s="369"/>
      <c r="D2" s="369"/>
      <c r="E2" s="369"/>
      <c r="F2" s="369"/>
      <c r="G2" s="369"/>
      <c r="H2" s="369"/>
      <c r="I2" s="369"/>
      <c r="J2" s="336" t="s">
        <v>2</v>
      </c>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69"/>
      <c r="C3" s="369"/>
      <c r="D3" s="369"/>
      <c r="E3" s="369"/>
      <c r="F3" s="369"/>
      <c r="G3" s="369"/>
      <c r="H3" s="369"/>
      <c r="I3" s="369"/>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69"/>
      <c r="C4" s="369"/>
      <c r="D4" s="369"/>
      <c r="E4" s="369"/>
      <c r="F4" s="369"/>
      <c r="G4" s="369"/>
      <c r="H4" s="369"/>
      <c r="I4" s="369"/>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2" t="s">
        <v>3</v>
      </c>
      <c r="C6" s="282"/>
      <c r="D6" s="283"/>
      <c r="E6" s="320" t="s">
        <v>108</v>
      </c>
      <c r="F6" s="321"/>
      <c r="G6" s="321"/>
      <c r="H6" s="321"/>
      <c r="I6" s="322"/>
      <c r="J6" s="332" t="str">
        <f ca="1">IF(AND('Mapa final'!$J$11="Muy Alta",'Mapa final'!$N$11="Leve"),CONCATENATE("R",'Mapa final'!$A$11),"")</f>
        <v/>
      </c>
      <c r="K6" s="333"/>
      <c r="L6" s="333" t="str">
        <f ca="1">IF(AND('Mapa final'!$J$15="Muy Alta",'Mapa final'!$N$15="Leve"),CONCATENATE("R",'Mapa final'!$A$15),"")</f>
        <v/>
      </c>
      <c r="M6" s="333"/>
      <c r="N6" s="333" t="str">
        <f ca="1">IF(AND('Mapa final'!$J$21="Muy Alta",'Mapa final'!$N$21="Leve"),CONCATENATE("R",'Mapa final'!$A$21),"")</f>
        <v/>
      </c>
      <c r="O6" s="335"/>
      <c r="P6" s="332" t="str">
        <f ca="1">IF(AND('Mapa final'!$J$11="Muy Alta",'Mapa final'!$N$11="Menor"),CONCATENATE("R",'Mapa final'!$A$11),"")</f>
        <v/>
      </c>
      <c r="Q6" s="333"/>
      <c r="R6" s="333" t="str">
        <f ca="1">IF(AND('Mapa final'!$J$15="Muy Alta",'Mapa final'!$N$15="Menor"),CONCATENATE("R",'Mapa final'!$A$15),"")</f>
        <v/>
      </c>
      <c r="S6" s="333"/>
      <c r="T6" s="333" t="str">
        <f ca="1">IF(AND('Mapa final'!$J$21="Muy Alta",'Mapa final'!$N$21="Menor"),CONCATENATE("R",'Mapa final'!$A$21),"")</f>
        <v/>
      </c>
      <c r="U6" s="335"/>
      <c r="V6" s="332" t="str">
        <f ca="1">IF(AND('Mapa final'!$J$11="Muy Alta",'Mapa final'!$N$11="Moderado"),CONCATENATE("R",'Mapa final'!$A$11),"")</f>
        <v/>
      </c>
      <c r="W6" s="333"/>
      <c r="X6" s="333" t="str">
        <f ca="1">IF(AND('Mapa final'!$J$15="Muy Alta",'Mapa final'!$N$15="Moderado"),CONCATENATE("R",'Mapa final'!$A$15),"")</f>
        <v/>
      </c>
      <c r="Y6" s="333"/>
      <c r="Z6" s="333" t="str">
        <f ca="1">IF(AND('Mapa final'!$J$21="Muy Alta",'Mapa final'!$N$21="Moderado"),CONCATENATE("R",'Mapa final'!$A$21),"")</f>
        <v/>
      </c>
      <c r="AA6" s="335"/>
      <c r="AB6" s="332" t="str">
        <f ca="1">IF(AND('Mapa final'!$J$11="Muy Alta",'Mapa final'!$N$11="Mayor"),CONCATENATE("R",'Mapa final'!$A$11),"")</f>
        <v/>
      </c>
      <c r="AC6" s="333"/>
      <c r="AD6" s="333" t="str">
        <f ca="1">IF(AND('Mapa final'!$J$15="Muy Alta",'Mapa final'!$N$15="Mayor"),CONCATENATE("R",'Mapa final'!$A$15),"")</f>
        <v/>
      </c>
      <c r="AE6" s="333"/>
      <c r="AF6" s="333" t="str">
        <f ca="1">IF(AND('Mapa final'!$J$21="Muy Alta",'Mapa final'!$N$21="Mayor"),CONCATENATE("R",'Mapa final'!$A$21),"")</f>
        <v/>
      </c>
      <c r="AG6" s="335"/>
      <c r="AH6" s="348" t="str">
        <f ca="1">IF(AND('Mapa final'!$J$11="Muy Alta",'Mapa final'!$N$11="Catastrófico"),CONCATENATE("R",'Mapa final'!$A$11),"")</f>
        <v/>
      </c>
      <c r="AI6" s="349"/>
      <c r="AJ6" s="349" t="str">
        <f ca="1">IF(AND('Mapa final'!$J$15="Muy Alta",'Mapa final'!$N$15="Catastrófico"),CONCATENATE("R",'Mapa final'!$A$15),"")</f>
        <v/>
      </c>
      <c r="AK6" s="349"/>
      <c r="AL6" s="349" t="str">
        <f ca="1">IF(AND('Mapa final'!$J$21="Muy Alta",'Mapa final'!$N$21="Catastrófico"),CONCATENATE("R",'Mapa final'!$A$21),"")</f>
        <v/>
      </c>
      <c r="AM6" s="350"/>
      <c r="AO6" s="284" t="s">
        <v>76</v>
      </c>
      <c r="AP6" s="285"/>
      <c r="AQ6" s="285"/>
      <c r="AR6" s="285"/>
      <c r="AS6" s="285"/>
      <c r="AT6" s="286"/>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2"/>
      <c r="C7" s="282"/>
      <c r="D7" s="283"/>
      <c r="E7" s="323"/>
      <c r="F7" s="324"/>
      <c r="G7" s="324"/>
      <c r="H7" s="324"/>
      <c r="I7" s="325"/>
      <c r="J7" s="334"/>
      <c r="K7" s="331"/>
      <c r="L7" s="331"/>
      <c r="M7" s="331"/>
      <c r="N7" s="331"/>
      <c r="O7" s="330"/>
      <c r="P7" s="334"/>
      <c r="Q7" s="331"/>
      <c r="R7" s="331"/>
      <c r="S7" s="331"/>
      <c r="T7" s="331"/>
      <c r="U7" s="330"/>
      <c r="V7" s="334"/>
      <c r="W7" s="331"/>
      <c r="X7" s="331"/>
      <c r="Y7" s="331"/>
      <c r="Z7" s="331"/>
      <c r="AA7" s="330"/>
      <c r="AB7" s="334"/>
      <c r="AC7" s="331"/>
      <c r="AD7" s="331"/>
      <c r="AE7" s="331"/>
      <c r="AF7" s="331"/>
      <c r="AG7" s="330"/>
      <c r="AH7" s="342"/>
      <c r="AI7" s="343"/>
      <c r="AJ7" s="343"/>
      <c r="AK7" s="343"/>
      <c r="AL7" s="343"/>
      <c r="AM7" s="344"/>
      <c r="AN7" s="84"/>
      <c r="AO7" s="287"/>
      <c r="AP7" s="288"/>
      <c r="AQ7" s="288"/>
      <c r="AR7" s="288"/>
      <c r="AS7" s="288"/>
      <c r="AT7" s="289"/>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2"/>
      <c r="C8" s="282"/>
      <c r="D8" s="283"/>
      <c r="E8" s="323"/>
      <c r="F8" s="324"/>
      <c r="G8" s="324"/>
      <c r="H8" s="324"/>
      <c r="I8" s="325"/>
      <c r="J8" s="334" t="str">
        <f ca="1">IF(AND('Mapa final'!$J$27="Muy Alta",'Mapa final'!$N$27="Leve"),CONCATENATE("R",'Mapa final'!$A$27),"")</f>
        <v/>
      </c>
      <c r="K8" s="331"/>
      <c r="L8" s="329" t="str">
        <f ca="1">IF(AND('Mapa final'!$J$33="Muy Alta",'Mapa final'!$N$33="Leve"),CONCATENATE("R",'Mapa final'!$A$33),"")</f>
        <v/>
      </c>
      <c r="M8" s="329"/>
      <c r="N8" s="329" t="str">
        <f ca="1">IF(AND('Mapa final'!$J$39="Muy Alta",'Mapa final'!$N$39="Leve"),CONCATENATE("R",'Mapa final'!$A$39),"")</f>
        <v/>
      </c>
      <c r="O8" s="330"/>
      <c r="P8" s="334" t="str">
        <f ca="1">IF(AND('Mapa final'!$J$27="Muy Alta",'Mapa final'!$N$27="Menor"),CONCATENATE("R",'Mapa final'!$A$27),"")</f>
        <v/>
      </c>
      <c r="Q8" s="331"/>
      <c r="R8" s="329" t="str">
        <f ca="1">IF(AND('Mapa final'!$J$33="Muy Alta",'Mapa final'!$N$33="Menor"),CONCATENATE("R",'Mapa final'!$A$33),"")</f>
        <v/>
      </c>
      <c r="S8" s="329"/>
      <c r="T8" s="329" t="str">
        <f ca="1">IF(AND('Mapa final'!$J$39="Muy Alta",'Mapa final'!$N$39="Menor"),CONCATENATE("R",'Mapa final'!$A$39),"")</f>
        <v/>
      </c>
      <c r="U8" s="330"/>
      <c r="V8" s="334" t="str">
        <f ca="1">IF(AND('Mapa final'!$J$27="Muy Alta",'Mapa final'!$N$27="Moderado"),CONCATENATE("R",'Mapa final'!$A$27),"")</f>
        <v/>
      </c>
      <c r="W8" s="331"/>
      <c r="X8" s="329" t="str">
        <f ca="1">IF(AND('Mapa final'!$J$33="Muy Alta",'Mapa final'!$N$33="Moderado"),CONCATENATE("R",'Mapa final'!$A$33),"")</f>
        <v/>
      </c>
      <c r="Y8" s="329"/>
      <c r="Z8" s="329" t="str">
        <f ca="1">IF(AND('Mapa final'!$J$39="Muy Alta",'Mapa final'!$N$39="Moderado"),CONCATENATE("R",'Mapa final'!$A$39),"")</f>
        <v/>
      </c>
      <c r="AA8" s="330"/>
      <c r="AB8" s="334" t="str">
        <f ca="1">IF(AND('Mapa final'!$J$27="Muy Alta",'Mapa final'!$N$27="Mayor"),CONCATENATE("R",'Mapa final'!$A$27),"")</f>
        <v/>
      </c>
      <c r="AC8" s="331"/>
      <c r="AD8" s="329" t="str">
        <f ca="1">IF(AND('Mapa final'!$J$33="Muy Alta",'Mapa final'!$N$33="Mayor"),CONCATENATE("R",'Mapa final'!$A$33),"")</f>
        <v/>
      </c>
      <c r="AE8" s="329"/>
      <c r="AF8" s="329" t="str">
        <f ca="1">IF(AND('Mapa final'!$J$39="Muy Alta",'Mapa final'!$N$39="Mayor"),CONCATENATE("R",'Mapa final'!$A$39),"")</f>
        <v/>
      </c>
      <c r="AG8" s="330"/>
      <c r="AH8" s="342" t="str">
        <f ca="1">IF(AND('Mapa final'!$J$27="Muy Alta",'Mapa final'!$N$27="Catastrófico"),CONCATENATE("R",'Mapa final'!$A$27),"")</f>
        <v/>
      </c>
      <c r="AI8" s="343"/>
      <c r="AJ8" s="343" t="str">
        <f ca="1">IF(AND('Mapa final'!$J$33="Muy Alta",'Mapa final'!$N$33="Catastrófico"),CONCATENATE("R",'Mapa final'!$A$33),"")</f>
        <v/>
      </c>
      <c r="AK8" s="343"/>
      <c r="AL8" s="343" t="str">
        <f ca="1">IF(AND('Mapa final'!$J$39="Muy Alta",'Mapa final'!$N$39="Catastrófico"),CONCATENATE("R",'Mapa final'!$A$39),"")</f>
        <v/>
      </c>
      <c r="AM8" s="344"/>
      <c r="AN8" s="84"/>
      <c r="AO8" s="287"/>
      <c r="AP8" s="288"/>
      <c r="AQ8" s="288"/>
      <c r="AR8" s="288"/>
      <c r="AS8" s="288"/>
      <c r="AT8" s="289"/>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2"/>
      <c r="C9" s="282"/>
      <c r="D9" s="283"/>
      <c r="E9" s="323"/>
      <c r="F9" s="324"/>
      <c r="G9" s="324"/>
      <c r="H9" s="324"/>
      <c r="I9" s="325"/>
      <c r="J9" s="334"/>
      <c r="K9" s="331"/>
      <c r="L9" s="329"/>
      <c r="M9" s="329"/>
      <c r="N9" s="329"/>
      <c r="O9" s="330"/>
      <c r="P9" s="334"/>
      <c r="Q9" s="331"/>
      <c r="R9" s="329"/>
      <c r="S9" s="329"/>
      <c r="T9" s="329"/>
      <c r="U9" s="330"/>
      <c r="V9" s="334"/>
      <c r="W9" s="331"/>
      <c r="X9" s="329"/>
      <c r="Y9" s="329"/>
      <c r="Z9" s="329"/>
      <c r="AA9" s="330"/>
      <c r="AB9" s="334"/>
      <c r="AC9" s="331"/>
      <c r="AD9" s="329"/>
      <c r="AE9" s="329"/>
      <c r="AF9" s="329"/>
      <c r="AG9" s="330"/>
      <c r="AH9" s="342"/>
      <c r="AI9" s="343"/>
      <c r="AJ9" s="343"/>
      <c r="AK9" s="343"/>
      <c r="AL9" s="343"/>
      <c r="AM9" s="344"/>
      <c r="AN9" s="84"/>
      <c r="AO9" s="287"/>
      <c r="AP9" s="288"/>
      <c r="AQ9" s="288"/>
      <c r="AR9" s="288"/>
      <c r="AS9" s="288"/>
      <c r="AT9" s="289"/>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2"/>
      <c r="C10" s="282"/>
      <c r="D10" s="283"/>
      <c r="E10" s="323"/>
      <c r="F10" s="324"/>
      <c r="G10" s="324"/>
      <c r="H10" s="324"/>
      <c r="I10" s="325"/>
      <c r="J10" s="334" t="str">
        <f ca="1">IF(AND('Mapa final'!$J$45="Muy Alta",'Mapa final'!$N$45="Leve"),CONCATENATE("R",'Mapa final'!$A$45),"")</f>
        <v/>
      </c>
      <c r="K10" s="331"/>
      <c r="L10" s="329" t="str">
        <f ca="1">IF(AND('Mapa final'!$J$51="Muy Alta",'Mapa final'!$N$51="Leve"),CONCATENATE("R",'Mapa final'!$A$51),"")</f>
        <v/>
      </c>
      <c r="M10" s="329"/>
      <c r="N10" s="329" t="str">
        <f ca="1">IF(AND('Mapa final'!$J$57="Muy Alta",'Mapa final'!$N$57="Leve"),CONCATENATE("R",'Mapa final'!$A$57),"")</f>
        <v/>
      </c>
      <c r="O10" s="330"/>
      <c r="P10" s="334" t="str">
        <f ca="1">IF(AND('Mapa final'!$J$45="Muy Alta",'Mapa final'!$N$45="Menor"),CONCATENATE("R",'Mapa final'!$A$45),"")</f>
        <v/>
      </c>
      <c r="Q10" s="331"/>
      <c r="R10" s="329" t="str">
        <f ca="1">IF(AND('Mapa final'!$J$51="Muy Alta",'Mapa final'!$N$51="Menor"),CONCATENATE("R",'Mapa final'!$A$51),"")</f>
        <v/>
      </c>
      <c r="S10" s="329"/>
      <c r="T10" s="329" t="str">
        <f ca="1">IF(AND('Mapa final'!$J$57="Muy Alta",'Mapa final'!$N$57="Menor"),CONCATENATE("R",'Mapa final'!$A$57),"")</f>
        <v/>
      </c>
      <c r="U10" s="330"/>
      <c r="V10" s="334" t="str">
        <f ca="1">IF(AND('Mapa final'!$J$45="Muy Alta",'Mapa final'!$N$45="Moderado"),CONCATENATE("R",'Mapa final'!$A$45),"")</f>
        <v/>
      </c>
      <c r="W10" s="331"/>
      <c r="X10" s="329" t="str">
        <f ca="1">IF(AND('Mapa final'!$J$51="Muy Alta",'Mapa final'!$N$51="Moderado"),CONCATENATE("R",'Mapa final'!$A$51),"")</f>
        <v/>
      </c>
      <c r="Y10" s="329"/>
      <c r="Z10" s="329" t="str">
        <f ca="1">IF(AND('Mapa final'!$J$57="Muy Alta",'Mapa final'!$N$57="Moderado"),CONCATENATE("R",'Mapa final'!$A$57),"")</f>
        <v/>
      </c>
      <c r="AA10" s="330"/>
      <c r="AB10" s="334" t="str">
        <f ca="1">IF(AND('Mapa final'!$J$45="Muy Alta",'Mapa final'!$N$45="Mayor"),CONCATENATE("R",'Mapa final'!$A$45),"")</f>
        <v/>
      </c>
      <c r="AC10" s="331"/>
      <c r="AD10" s="329" t="str">
        <f ca="1">IF(AND('Mapa final'!$J$51="Muy Alta",'Mapa final'!$N$51="Mayor"),CONCATENATE("R",'Mapa final'!$A$51),"")</f>
        <v/>
      </c>
      <c r="AE10" s="329"/>
      <c r="AF10" s="329" t="str">
        <f ca="1">IF(AND('Mapa final'!$J$57="Muy Alta",'Mapa final'!$N$57="Mayor"),CONCATENATE("R",'Mapa final'!$A$57),"")</f>
        <v/>
      </c>
      <c r="AG10" s="330"/>
      <c r="AH10" s="342" t="str">
        <f ca="1">IF(AND('Mapa final'!$J$45="Muy Alta",'Mapa final'!$N$45="Catastrófico"),CONCATENATE("R",'Mapa final'!$A$45),"")</f>
        <v/>
      </c>
      <c r="AI10" s="343"/>
      <c r="AJ10" s="343" t="str">
        <f ca="1">IF(AND('Mapa final'!$J$51="Muy Alta",'Mapa final'!$N$51="Catastrófico"),CONCATENATE("R",'Mapa final'!$A$51),"")</f>
        <v/>
      </c>
      <c r="AK10" s="343"/>
      <c r="AL10" s="343" t="str">
        <f ca="1">IF(AND('Mapa final'!$J$57="Muy Alta",'Mapa final'!$N$57="Catastrófico"),CONCATENATE("R",'Mapa final'!$A$57),"")</f>
        <v/>
      </c>
      <c r="AM10" s="344"/>
      <c r="AN10" s="84"/>
      <c r="AO10" s="287"/>
      <c r="AP10" s="288"/>
      <c r="AQ10" s="288"/>
      <c r="AR10" s="288"/>
      <c r="AS10" s="288"/>
      <c r="AT10" s="289"/>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2"/>
      <c r="C11" s="282"/>
      <c r="D11" s="283"/>
      <c r="E11" s="323"/>
      <c r="F11" s="324"/>
      <c r="G11" s="324"/>
      <c r="H11" s="324"/>
      <c r="I11" s="325"/>
      <c r="J11" s="334"/>
      <c r="K11" s="331"/>
      <c r="L11" s="329"/>
      <c r="M11" s="329"/>
      <c r="N11" s="329"/>
      <c r="O11" s="330"/>
      <c r="P11" s="334"/>
      <c r="Q11" s="331"/>
      <c r="R11" s="329"/>
      <c r="S11" s="329"/>
      <c r="T11" s="329"/>
      <c r="U11" s="330"/>
      <c r="V11" s="334"/>
      <c r="W11" s="331"/>
      <c r="X11" s="329"/>
      <c r="Y11" s="329"/>
      <c r="Z11" s="329"/>
      <c r="AA11" s="330"/>
      <c r="AB11" s="334"/>
      <c r="AC11" s="331"/>
      <c r="AD11" s="329"/>
      <c r="AE11" s="329"/>
      <c r="AF11" s="329"/>
      <c r="AG11" s="330"/>
      <c r="AH11" s="342"/>
      <c r="AI11" s="343"/>
      <c r="AJ11" s="343"/>
      <c r="AK11" s="343"/>
      <c r="AL11" s="343"/>
      <c r="AM11" s="344"/>
      <c r="AN11" s="84"/>
      <c r="AO11" s="287"/>
      <c r="AP11" s="288"/>
      <c r="AQ11" s="288"/>
      <c r="AR11" s="288"/>
      <c r="AS11" s="288"/>
      <c r="AT11" s="289"/>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2"/>
      <c r="C12" s="282"/>
      <c r="D12" s="283"/>
      <c r="E12" s="323"/>
      <c r="F12" s="324"/>
      <c r="G12" s="324"/>
      <c r="H12" s="324"/>
      <c r="I12" s="325"/>
      <c r="J12" s="334" t="str">
        <f ca="1">IF(AND('Mapa final'!$J$63="Muy Alta",'Mapa final'!$N$63="Leve"),CONCATENATE("R",'Mapa final'!$A$63),"")</f>
        <v/>
      </c>
      <c r="K12" s="331"/>
      <c r="L12" s="329" t="str">
        <f>IF(AND('Mapa final'!$J$69="Muy Alta",'Mapa final'!$N$69="Leve"),CONCATENATE("R",'Mapa final'!$A$69),"")</f>
        <v/>
      </c>
      <c r="M12" s="329"/>
      <c r="N12" s="329" t="str">
        <f>IF(AND('Mapa final'!$J$75="Muy Alta",'Mapa final'!$N$75="Leve"),CONCATENATE("R",'Mapa final'!$A$75),"")</f>
        <v/>
      </c>
      <c r="O12" s="330"/>
      <c r="P12" s="334" t="str">
        <f ca="1">IF(AND('Mapa final'!$J$63="Muy Alta",'Mapa final'!$N$63="Menor"),CONCATENATE("R",'Mapa final'!$A$63),"")</f>
        <v/>
      </c>
      <c r="Q12" s="331"/>
      <c r="R12" s="329" t="str">
        <f>IF(AND('Mapa final'!$J$69="Muy Alta",'Mapa final'!$N$69="Menor"),CONCATENATE("R",'Mapa final'!$A$69),"")</f>
        <v/>
      </c>
      <c r="S12" s="329"/>
      <c r="T12" s="329" t="str">
        <f>IF(AND('Mapa final'!$J$75="Muy Alta",'Mapa final'!$N$75="Menor"),CONCATENATE("R",'Mapa final'!$A$75),"")</f>
        <v/>
      </c>
      <c r="U12" s="330"/>
      <c r="V12" s="334" t="str">
        <f ca="1">IF(AND('Mapa final'!$J$63="Muy Alta",'Mapa final'!$N$63="Moderado"),CONCATENATE("R",'Mapa final'!$A$63),"")</f>
        <v/>
      </c>
      <c r="W12" s="331"/>
      <c r="X12" s="329" t="str">
        <f>IF(AND('Mapa final'!$J$69="Muy Alta",'Mapa final'!$N$69="Moderado"),CONCATENATE("R",'Mapa final'!$A$69),"")</f>
        <v/>
      </c>
      <c r="Y12" s="329"/>
      <c r="Z12" s="329" t="str">
        <f>IF(AND('Mapa final'!$J$75="Muy Alta",'Mapa final'!$N$75="Moderado"),CONCATENATE("R",'Mapa final'!$A$75),"")</f>
        <v/>
      </c>
      <c r="AA12" s="330"/>
      <c r="AB12" s="334" t="str">
        <f ca="1">IF(AND('Mapa final'!$J$63="Muy Alta",'Mapa final'!$N$63="Mayor"),CONCATENATE("R",'Mapa final'!$A$63),"")</f>
        <v/>
      </c>
      <c r="AC12" s="331"/>
      <c r="AD12" s="329" t="str">
        <f>IF(AND('Mapa final'!$J$69="Muy Alta",'Mapa final'!$N$69="Mayor"),CONCATENATE("R",'Mapa final'!$A$69),"")</f>
        <v/>
      </c>
      <c r="AE12" s="329"/>
      <c r="AF12" s="329" t="str">
        <f>IF(AND('Mapa final'!$J$75="Muy Alta",'Mapa final'!$N$75="Mayor"),CONCATENATE("R",'Mapa final'!$A$75),"")</f>
        <v/>
      </c>
      <c r="AG12" s="330"/>
      <c r="AH12" s="342" t="str">
        <f ca="1">IF(AND('Mapa final'!$J$63="Muy Alta",'Mapa final'!$N$63="Catastrófico"),CONCATENATE("R",'Mapa final'!$A$63),"")</f>
        <v/>
      </c>
      <c r="AI12" s="343"/>
      <c r="AJ12" s="343" t="str">
        <f>IF(AND('Mapa final'!$J$69="Muy Alta",'Mapa final'!$N$69="Catastrófico"),CONCATENATE("R",'Mapa final'!$A$69),"")</f>
        <v/>
      </c>
      <c r="AK12" s="343"/>
      <c r="AL12" s="343" t="str">
        <f>IF(AND('Mapa final'!$J$75="Muy Alta",'Mapa final'!$N$75="Catastrófico"),CONCATENATE("R",'Mapa final'!$A$75),"")</f>
        <v/>
      </c>
      <c r="AM12" s="344"/>
      <c r="AN12" s="84"/>
      <c r="AO12" s="287"/>
      <c r="AP12" s="288"/>
      <c r="AQ12" s="288"/>
      <c r="AR12" s="288"/>
      <c r="AS12" s="288"/>
      <c r="AT12" s="289"/>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2"/>
      <c r="C13" s="282"/>
      <c r="D13" s="283"/>
      <c r="E13" s="326"/>
      <c r="F13" s="327"/>
      <c r="G13" s="327"/>
      <c r="H13" s="327"/>
      <c r="I13" s="328"/>
      <c r="J13" s="334"/>
      <c r="K13" s="331"/>
      <c r="L13" s="331"/>
      <c r="M13" s="331"/>
      <c r="N13" s="331"/>
      <c r="O13" s="330"/>
      <c r="P13" s="334"/>
      <c r="Q13" s="331"/>
      <c r="R13" s="331"/>
      <c r="S13" s="331"/>
      <c r="T13" s="331"/>
      <c r="U13" s="330"/>
      <c r="V13" s="334"/>
      <c r="W13" s="331"/>
      <c r="X13" s="331"/>
      <c r="Y13" s="331"/>
      <c r="Z13" s="331"/>
      <c r="AA13" s="330"/>
      <c r="AB13" s="334"/>
      <c r="AC13" s="331"/>
      <c r="AD13" s="331"/>
      <c r="AE13" s="331"/>
      <c r="AF13" s="331"/>
      <c r="AG13" s="330"/>
      <c r="AH13" s="345"/>
      <c r="AI13" s="346"/>
      <c r="AJ13" s="346"/>
      <c r="AK13" s="346"/>
      <c r="AL13" s="346"/>
      <c r="AM13" s="347"/>
      <c r="AN13" s="84"/>
      <c r="AO13" s="290"/>
      <c r="AP13" s="291"/>
      <c r="AQ13" s="291"/>
      <c r="AR13" s="291"/>
      <c r="AS13" s="291"/>
      <c r="AT13" s="29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2"/>
      <c r="C14" s="282"/>
      <c r="D14" s="283"/>
      <c r="E14" s="320" t="s">
        <v>107</v>
      </c>
      <c r="F14" s="321"/>
      <c r="G14" s="321"/>
      <c r="H14" s="321"/>
      <c r="I14" s="321"/>
      <c r="J14" s="357" t="str">
        <f ca="1">IF(AND('Mapa final'!$J$11="Alta",'Mapa final'!$N$11="Leve"),CONCATENATE("R",'Mapa final'!$A$11),"")</f>
        <v/>
      </c>
      <c r="K14" s="358"/>
      <c r="L14" s="358" t="str">
        <f ca="1">IF(AND('Mapa final'!$J$15="Alta",'Mapa final'!$N$15="Leve"),CONCATENATE("R",'Mapa final'!$A$15),"")</f>
        <v/>
      </c>
      <c r="M14" s="358"/>
      <c r="N14" s="358" t="str">
        <f ca="1">IF(AND('Mapa final'!$J$21="Alta",'Mapa final'!$N$21="Leve"),CONCATENATE("R",'Mapa final'!$A$21),"")</f>
        <v/>
      </c>
      <c r="O14" s="359"/>
      <c r="P14" s="357" t="str">
        <f ca="1">IF(AND('Mapa final'!$J$11="Alta",'Mapa final'!$N$11="Menor"),CONCATENATE("R",'Mapa final'!$A$11),"")</f>
        <v/>
      </c>
      <c r="Q14" s="358"/>
      <c r="R14" s="358" t="str">
        <f ca="1">IF(AND('Mapa final'!$J$15="Alta",'Mapa final'!$N$15="Menor"),CONCATENATE("R",'Mapa final'!$A$15),"")</f>
        <v/>
      </c>
      <c r="S14" s="358"/>
      <c r="T14" s="358" t="str">
        <f ca="1">IF(AND('Mapa final'!$J$21="Alta",'Mapa final'!$N$21="Menor"),CONCATENATE("R",'Mapa final'!$A$21),"")</f>
        <v/>
      </c>
      <c r="U14" s="359"/>
      <c r="V14" s="332" t="str">
        <f ca="1">IF(AND('Mapa final'!$J$11="Alta",'Mapa final'!$N$11="Moderado"),CONCATENATE("R",'Mapa final'!$A$11),"")</f>
        <v/>
      </c>
      <c r="W14" s="333"/>
      <c r="X14" s="333" t="str">
        <f ca="1">IF(AND('Mapa final'!$J$15="Alta",'Mapa final'!$N$15="Moderado"),CONCATENATE("R",'Mapa final'!$A$15),"")</f>
        <v/>
      </c>
      <c r="Y14" s="333"/>
      <c r="Z14" s="333" t="str">
        <f ca="1">IF(AND('Mapa final'!$J$21="Alta",'Mapa final'!$N$21="Moderado"),CONCATENATE("R",'Mapa final'!$A$21),"")</f>
        <v/>
      </c>
      <c r="AA14" s="335"/>
      <c r="AB14" s="332" t="str">
        <f ca="1">IF(AND('Mapa final'!$J$11="Alta",'Mapa final'!$N$11="Mayor"),CONCATENATE("R",'Mapa final'!$A$11),"")</f>
        <v/>
      </c>
      <c r="AC14" s="333"/>
      <c r="AD14" s="333" t="str">
        <f ca="1">IF(AND('Mapa final'!$J$15="Alta",'Mapa final'!$N$15="Mayor"),CONCATENATE("R",'Mapa final'!$A$15),"")</f>
        <v/>
      </c>
      <c r="AE14" s="333"/>
      <c r="AF14" s="333" t="str">
        <f ca="1">IF(AND('Mapa final'!$J$21="Alta",'Mapa final'!$N$21="Mayor"),CONCATENATE("R",'Mapa final'!$A$21),"")</f>
        <v/>
      </c>
      <c r="AG14" s="335"/>
      <c r="AH14" s="348" t="str">
        <f ca="1">IF(AND('Mapa final'!$J$11="Alta",'Mapa final'!$N$11="Catastrófico"),CONCATENATE("R",'Mapa final'!$A$11),"")</f>
        <v/>
      </c>
      <c r="AI14" s="349"/>
      <c r="AJ14" s="349" t="str">
        <f ca="1">IF(AND('Mapa final'!$J$15="Alta",'Mapa final'!$N$15="Catastrófico"),CONCATENATE("R",'Mapa final'!$A$15),"")</f>
        <v/>
      </c>
      <c r="AK14" s="349"/>
      <c r="AL14" s="349" t="str">
        <f ca="1">IF(AND('Mapa final'!$J$21="Alta",'Mapa final'!$N$21="Catastrófico"),CONCATENATE("R",'Mapa final'!$A$21),"")</f>
        <v/>
      </c>
      <c r="AM14" s="350"/>
      <c r="AN14" s="84"/>
      <c r="AO14" s="293" t="s">
        <v>77</v>
      </c>
      <c r="AP14" s="294"/>
      <c r="AQ14" s="294"/>
      <c r="AR14" s="294"/>
      <c r="AS14" s="294"/>
      <c r="AT14" s="295"/>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2"/>
      <c r="C15" s="282"/>
      <c r="D15" s="283"/>
      <c r="E15" s="323"/>
      <c r="F15" s="324"/>
      <c r="G15" s="324"/>
      <c r="H15" s="324"/>
      <c r="I15" s="337"/>
      <c r="J15" s="351"/>
      <c r="K15" s="352"/>
      <c r="L15" s="352"/>
      <c r="M15" s="352"/>
      <c r="N15" s="352"/>
      <c r="O15" s="353"/>
      <c r="P15" s="351"/>
      <c r="Q15" s="352"/>
      <c r="R15" s="352"/>
      <c r="S15" s="352"/>
      <c r="T15" s="352"/>
      <c r="U15" s="353"/>
      <c r="V15" s="334"/>
      <c r="W15" s="331"/>
      <c r="X15" s="331"/>
      <c r="Y15" s="331"/>
      <c r="Z15" s="331"/>
      <c r="AA15" s="330"/>
      <c r="AB15" s="334"/>
      <c r="AC15" s="331"/>
      <c r="AD15" s="331"/>
      <c r="AE15" s="331"/>
      <c r="AF15" s="331"/>
      <c r="AG15" s="330"/>
      <c r="AH15" s="342"/>
      <c r="AI15" s="343"/>
      <c r="AJ15" s="343"/>
      <c r="AK15" s="343"/>
      <c r="AL15" s="343"/>
      <c r="AM15" s="344"/>
      <c r="AN15" s="84"/>
      <c r="AO15" s="296"/>
      <c r="AP15" s="297"/>
      <c r="AQ15" s="297"/>
      <c r="AR15" s="297"/>
      <c r="AS15" s="297"/>
      <c r="AT15" s="298"/>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2"/>
      <c r="C16" s="282"/>
      <c r="D16" s="283"/>
      <c r="E16" s="323"/>
      <c r="F16" s="324"/>
      <c r="G16" s="324"/>
      <c r="H16" s="324"/>
      <c r="I16" s="337"/>
      <c r="J16" s="351" t="str">
        <f ca="1">IF(AND('Mapa final'!$J$27="Alta",'Mapa final'!$N$27="Leve"),CONCATENATE("R",'Mapa final'!$A$27),"")</f>
        <v/>
      </c>
      <c r="K16" s="352"/>
      <c r="L16" s="352" t="str">
        <f ca="1">IF(AND('Mapa final'!$J$33="Alta",'Mapa final'!$N$33="Leve"),CONCATENATE("R",'Mapa final'!$A$33),"")</f>
        <v/>
      </c>
      <c r="M16" s="352"/>
      <c r="N16" s="352" t="str">
        <f ca="1">IF(AND('Mapa final'!$J$39="Alta",'Mapa final'!$N$39="Leve"),CONCATENATE("R",'Mapa final'!$A$39),"")</f>
        <v/>
      </c>
      <c r="O16" s="353"/>
      <c r="P16" s="351" t="str">
        <f ca="1">IF(AND('Mapa final'!$J$27="Alta",'Mapa final'!$N$27="Menor"),CONCATENATE("R",'Mapa final'!$A$27),"")</f>
        <v/>
      </c>
      <c r="Q16" s="352"/>
      <c r="R16" s="352" t="str">
        <f ca="1">IF(AND('Mapa final'!$J$33="Alta",'Mapa final'!$N$33="Menor"),CONCATENATE("R",'Mapa final'!$A$33),"")</f>
        <v/>
      </c>
      <c r="S16" s="352"/>
      <c r="T16" s="352" t="str">
        <f ca="1">IF(AND('Mapa final'!$J$39="Alta",'Mapa final'!$N$39="Menor"),CONCATENATE("R",'Mapa final'!$A$39),"")</f>
        <v/>
      </c>
      <c r="U16" s="353"/>
      <c r="V16" s="334" t="str">
        <f ca="1">IF(AND('Mapa final'!$J$27="Alta",'Mapa final'!$N$27="Moderado"),CONCATENATE("R",'Mapa final'!$A$27),"")</f>
        <v/>
      </c>
      <c r="W16" s="331"/>
      <c r="X16" s="329" t="str">
        <f ca="1">IF(AND('Mapa final'!$J$33="Alta",'Mapa final'!$N$33="Moderado"),CONCATENATE("R",'Mapa final'!$A$33),"")</f>
        <v/>
      </c>
      <c r="Y16" s="329"/>
      <c r="Z16" s="329" t="str">
        <f ca="1">IF(AND('Mapa final'!$J$39="Alta",'Mapa final'!$N$39="Moderado"),CONCATENATE("R",'Mapa final'!$A$39),"")</f>
        <v/>
      </c>
      <c r="AA16" s="330"/>
      <c r="AB16" s="334" t="str">
        <f ca="1">IF(AND('Mapa final'!$J$27="Alta",'Mapa final'!$N$27="Mayor"),CONCATENATE("R",'Mapa final'!$A$27),"")</f>
        <v/>
      </c>
      <c r="AC16" s="331"/>
      <c r="AD16" s="329" t="str">
        <f ca="1">IF(AND('Mapa final'!$J$33="Alta",'Mapa final'!$N$33="Mayor"),CONCATENATE("R",'Mapa final'!$A$33),"")</f>
        <v/>
      </c>
      <c r="AE16" s="329"/>
      <c r="AF16" s="329" t="str">
        <f ca="1">IF(AND('Mapa final'!$J$39="Alta",'Mapa final'!$N$39="Mayor"),CONCATENATE("R",'Mapa final'!$A$39),"")</f>
        <v/>
      </c>
      <c r="AG16" s="330"/>
      <c r="AH16" s="342" t="str">
        <f ca="1">IF(AND('Mapa final'!$J$27="Alta",'Mapa final'!$N$27="Catastrófico"),CONCATENATE("R",'Mapa final'!$A$27),"")</f>
        <v/>
      </c>
      <c r="AI16" s="343"/>
      <c r="AJ16" s="343" t="str">
        <f ca="1">IF(AND('Mapa final'!$J$33="Alta",'Mapa final'!$N$33="Catastrófico"),CONCATENATE("R",'Mapa final'!$A$33),"")</f>
        <v/>
      </c>
      <c r="AK16" s="343"/>
      <c r="AL16" s="343" t="str">
        <f ca="1">IF(AND('Mapa final'!$J$39="Alta",'Mapa final'!$N$39="Catastrófico"),CONCATENATE("R",'Mapa final'!$A$39),"")</f>
        <v/>
      </c>
      <c r="AM16" s="344"/>
      <c r="AN16" s="84"/>
      <c r="AO16" s="296"/>
      <c r="AP16" s="297"/>
      <c r="AQ16" s="297"/>
      <c r="AR16" s="297"/>
      <c r="AS16" s="297"/>
      <c r="AT16" s="29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2"/>
      <c r="C17" s="282"/>
      <c r="D17" s="283"/>
      <c r="E17" s="323"/>
      <c r="F17" s="324"/>
      <c r="G17" s="324"/>
      <c r="H17" s="324"/>
      <c r="I17" s="337"/>
      <c r="J17" s="351"/>
      <c r="K17" s="352"/>
      <c r="L17" s="352"/>
      <c r="M17" s="352"/>
      <c r="N17" s="352"/>
      <c r="O17" s="353"/>
      <c r="P17" s="351"/>
      <c r="Q17" s="352"/>
      <c r="R17" s="352"/>
      <c r="S17" s="352"/>
      <c r="T17" s="352"/>
      <c r="U17" s="353"/>
      <c r="V17" s="334"/>
      <c r="W17" s="331"/>
      <c r="X17" s="329"/>
      <c r="Y17" s="329"/>
      <c r="Z17" s="329"/>
      <c r="AA17" s="330"/>
      <c r="AB17" s="334"/>
      <c r="AC17" s="331"/>
      <c r="AD17" s="329"/>
      <c r="AE17" s="329"/>
      <c r="AF17" s="329"/>
      <c r="AG17" s="330"/>
      <c r="AH17" s="342"/>
      <c r="AI17" s="343"/>
      <c r="AJ17" s="343"/>
      <c r="AK17" s="343"/>
      <c r="AL17" s="343"/>
      <c r="AM17" s="344"/>
      <c r="AN17" s="84"/>
      <c r="AO17" s="296"/>
      <c r="AP17" s="297"/>
      <c r="AQ17" s="297"/>
      <c r="AR17" s="297"/>
      <c r="AS17" s="297"/>
      <c r="AT17" s="298"/>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2"/>
      <c r="C18" s="282"/>
      <c r="D18" s="283"/>
      <c r="E18" s="323"/>
      <c r="F18" s="324"/>
      <c r="G18" s="324"/>
      <c r="H18" s="324"/>
      <c r="I18" s="337"/>
      <c r="J18" s="351" t="str">
        <f ca="1">IF(AND('Mapa final'!$J$45="Alta",'Mapa final'!$N$45="Leve"),CONCATENATE("R",'Mapa final'!$A$45),"")</f>
        <v/>
      </c>
      <c r="K18" s="352"/>
      <c r="L18" s="352" t="str">
        <f ca="1">IF(AND('Mapa final'!$J$51="Alta",'Mapa final'!$N$51="Leve"),CONCATENATE("R",'Mapa final'!$A$51),"")</f>
        <v/>
      </c>
      <c r="M18" s="352"/>
      <c r="N18" s="352" t="str">
        <f ca="1">IF(AND('Mapa final'!$J$57="Alta",'Mapa final'!$N$57="Leve"),CONCATENATE("R",'Mapa final'!$A$57),"")</f>
        <v/>
      </c>
      <c r="O18" s="353"/>
      <c r="P18" s="351" t="str">
        <f ca="1">IF(AND('Mapa final'!$J$45="Alta",'Mapa final'!$N$45="Menor"),CONCATENATE("R",'Mapa final'!$A$45),"")</f>
        <v/>
      </c>
      <c r="Q18" s="352"/>
      <c r="R18" s="352" t="str">
        <f ca="1">IF(AND('Mapa final'!$J$51="Alta",'Mapa final'!$N$51="Menor"),CONCATENATE("R",'Mapa final'!$A$51),"")</f>
        <v/>
      </c>
      <c r="S18" s="352"/>
      <c r="T18" s="352" t="str">
        <f ca="1">IF(AND('Mapa final'!$J$57="Alta",'Mapa final'!$N$57="Menor"),CONCATENATE("R",'Mapa final'!$A$57),"")</f>
        <v/>
      </c>
      <c r="U18" s="353"/>
      <c r="V18" s="334" t="str">
        <f ca="1">IF(AND('Mapa final'!$J$45="Alta",'Mapa final'!$N$45="Moderado"),CONCATENATE("R",'Mapa final'!$A$45),"")</f>
        <v/>
      </c>
      <c r="W18" s="331"/>
      <c r="X18" s="329" t="str">
        <f ca="1">IF(AND('Mapa final'!$J$51="Alta",'Mapa final'!$N$51="Moderado"),CONCATENATE("R",'Mapa final'!$A$51),"")</f>
        <v/>
      </c>
      <c r="Y18" s="329"/>
      <c r="Z18" s="329" t="str">
        <f ca="1">IF(AND('Mapa final'!$J$57="Alta",'Mapa final'!$N$57="Moderado"),CONCATENATE("R",'Mapa final'!$A$57),"")</f>
        <v/>
      </c>
      <c r="AA18" s="330"/>
      <c r="AB18" s="334" t="str">
        <f ca="1">IF(AND('Mapa final'!$J$45="Alta",'Mapa final'!$N$45="Mayor"),CONCATENATE("R",'Mapa final'!$A$45),"")</f>
        <v/>
      </c>
      <c r="AC18" s="331"/>
      <c r="AD18" s="329" t="str">
        <f ca="1">IF(AND('Mapa final'!$J$51="Alta",'Mapa final'!$N$51="Mayor"),CONCATENATE("R",'Mapa final'!$A$51),"")</f>
        <v/>
      </c>
      <c r="AE18" s="329"/>
      <c r="AF18" s="329" t="str">
        <f ca="1">IF(AND('Mapa final'!$J$57="Alta",'Mapa final'!$N$57="Mayor"),CONCATENATE("R",'Mapa final'!$A$57),"")</f>
        <v/>
      </c>
      <c r="AG18" s="330"/>
      <c r="AH18" s="342" t="str">
        <f ca="1">IF(AND('Mapa final'!$J$45="Alta",'Mapa final'!$N$45="Catastrófico"),CONCATENATE("R",'Mapa final'!$A$45),"")</f>
        <v/>
      </c>
      <c r="AI18" s="343"/>
      <c r="AJ18" s="343" t="str">
        <f ca="1">IF(AND('Mapa final'!$J$51="Alta",'Mapa final'!$N$51="Catastrófico"),CONCATENATE("R",'Mapa final'!$A$51),"")</f>
        <v/>
      </c>
      <c r="AK18" s="343"/>
      <c r="AL18" s="343" t="str">
        <f ca="1">IF(AND('Mapa final'!$J$57="Alta",'Mapa final'!$N$57="Catastrófico"),CONCATENATE("R",'Mapa final'!$A$57),"")</f>
        <v/>
      </c>
      <c r="AM18" s="344"/>
      <c r="AN18" s="84"/>
      <c r="AO18" s="296"/>
      <c r="AP18" s="297"/>
      <c r="AQ18" s="297"/>
      <c r="AR18" s="297"/>
      <c r="AS18" s="297"/>
      <c r="AT18" s="298"/>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2"/>
      <c r="C19" s="282"/>
      <c r="D19" s="283"/>
      <c r="E19" s="323"/>
      <c r="F19" s="324"/>
      <c r="G19" s="324"/>
      <c r="H19" s="324"/>
      <c r="I19" s="337"/>
      <c r="J19" s="351"/>
      <c r="K19" s="352"/>
      <c r="L19" s="352"/>
      <c r="M19" s="352"/>
      <c r="N19" s="352"/>
      <c r="O19" s="353"/>
      <c r="P19" s="351"/>
      <c r="Q19" s="352"/>
      <c r="R19" s="352"/>
      <c r="S19" s="352"/>
      <c r="T19" s="352"/>
      <c r="U19" s="353"/>
      <c r="V19" s="334"/>
      <c r="W19" s="331"/>
      <c r="X19" s="329"/>
      <c r="Y19" s="329"/>
      <c r="Z19" s="329"/>
      <c r="AA19" s="330"/>
      <c r="AB19" s="334"/>
      <c r="AC19" s="331"/>
      <c r="AD19" s="329"/>
      <c r="AE19" s="329"/>
      <c r="AF19" s="329"/>
      <c r="AG19" s="330"/>
      <c r="AH19" s="342"/>
      <c r="AI19" s="343"/>
      <c r="AJ19" s="343"/>
      <c r="AK19" s="343"/>
      <c r="AL19" s="343"/>
      <c r="AM19" s="344"/>
      <c r="AN19" s="84"/>
      <c r="AO19" s="296"/>
      <c r="AP19" s="297"/>
      <c r="AQ19" s="297"/>
      <c r="AR19" s="297"/>
      <c r="AS19" s="297"/>
      <c r="AT19" s="298"/>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2"/>
      <c r="C20" s="282"/>
      <c r="D20" s="283"/>
      <c r="E20" s="323"/>
      <c r="F20" s="324"/>
      <c r="G20" s="324"/>
      <c r="H20" s="324"/>
      <c r="I20" s="337"/>
      <c r="J20" s="351" t="str">
        <f ca="1">IF(AND('Mapa final'!$J$63="Alta",'Mapa final'!$N$63="Leve"),CONCATENATE("R",'Mapa final'!$A$63),"")</f>
        <v/>
      </c>
      <c r="K20" s="352"/>
      <c r="L20" s="352" t="str">
        <f>IF(AND('Mapa final'!$J$69="Alta",'Mapa final'!$N$69="Leve"),CONCATENATE("R",'Mapa final'!$A$69),"")</f>
        <v/>
      </c>
      <c r="M20" s="352"/>
      <c r="N20" s="352" t="str">
        <f>IF(AND('Mapa final'!$J$75="Alta",'Mapa final'!$N$75="Leve"),CONCATENATE("R",'Mapa final'!$A$75),"")</f>
        <v/>
      </c>
      <c r="O20" s="353"/>
      <c r="P20" s="351" t="str">
        <f ca="1">IF(AND('Mapa final'!$J$63="Alta",'Mapa final'!$N$63="Menor"),CONCATENATE("R",'Mapa final'!$A$63),"")</f>
        <v/>
      </c>
      <c r="Q20" s="352"/>
      <c r="R20" s="352" t="str">
        <f>IF(AND('Mapa final'!$J$69="Alta",'Mapa final'!$N$69="Menor"),CONCATENATE("R",'Mapa final'!$A$69),"")</f>
        <v/>
      </c>
      <c r="S20" s="352"/>
      <c r="T20" s="352" t="str">
        <f>IF(AND('Mapa final'!$J$75="Alta",'Mapa final'!$N$75="Menor"),CONCATENATE("R",'Mapa final'!$A$75),"")</f>
        <v/>
      </c>
      <c r="U20" s="353"/>
      <c r="V20" s="334" t="str">
        <f ca="1">IF(AND('Mapa final'!$J$63="Alta",'Mapa final'!$N$63="Moderado"),CONCATENATE("R",'Mapa final'!$A$63),"")</f>
        <v/>
      </c>
      <c r="W20" s="331"/>
      <c r="X20" s="329" t="str">
        <f>IF(AND('Mapa final'!$J$69="Alta",'Mapa final'!$N$69="Moderado"),CONCATENATE("R",'Mapa final'!$A$69),"")</f>
        <v/>
      </c>
      <c r="Y20" s="329"/>
      <c r="Z20" s="329" t="str">
        <f>IF(AND('Mapa final'!$J$75="Alta",'Mapa final'!$N$75="Moderado"),CONCATENATE("R",'Mapa final'!$A$75),"")</f>
        <v/>
      </c>
      <c r="AA20" s="330"/>
      <c r="AB20" s="334" t="str">
        <f ca="1">IF(AND('Mapa final'!$J$63="Alta",'Mapa final'!$N$63="Mayor"),CONCATENATE("R",'Mapa final'!$A$63),"")</f>
        <v/>
      </c>
      <c r="AC20" s="331"/>
      <c r="AD20" s="329" t="str">
        <f>IF(AND('Mapa final'!$J$69="Alta",'Mapa final'!$N$69="Mayor"),CONCATENATE("R",'Mapa final'!$A$69),"")</f>
        <v/>
      </c>
      <c r="AE20" s="329"/>
      <c r="AF20" s="329" t="str">
        <f>IF(AND('Mapa final'!$J$75="Alta",'Mapa final'!$N$75="Mayor"),CONCATENATE("R",'Mapa final'!$A$75),"")</f>
        <v/>
      </c>
      <c r="AG20" s="330"/>
      <c r="AH20" s="342" t="str">
        <f ca="1">IF(AND('Mapa final'!$J$63="Alta",'Mapa final'!$N$63="Catastrófico"),CONCATENATE("R",'Mapa final'!$A$63),"")</f>
        <v/>
      </c>
      <c r="AI20" s="343"/>
      <c r="AJ20" s="343" t="str">
        <f>IF(AND('Mapa final'!$J$69="Alta",'Mapa final'!$N$69="Catastrófico"),CONCATENATE("R",'Mapa final'!$A$69),"")</f>
        <v/>
      </c>
      <c r="AK20" s="343"/>
      <c r="AL20" s="343" t="str">
        <f>IF(AND('Mapa final'!$J$75="Alta",'Mapa final'!$N$75="Catastrófico"),CONCATENATE("R",'Mapa final'!$A$75),"")</f>
        <v/>
      </c>
      <c r="AM20" s="344"/>
      <c r="AN20" s="84"/>
      <c r="AO20" s="296"/>
      <c r="AP20" s="297"/>
      <c r="AQ20" s="297"/>
      <c r="AR20" s="297"/>
      <c r="AS20" s="297"/>
      <c r="AT20" s="298"/>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2"/>
      <c r="C21" s="282"/>
      <c r="D21" s="283"/>
      <c r="E21" s="326"/>
      <c r="F21" s="327"/>
      <c r="G21" s="327"/>
      <c r="H21" s="327"/>
      <c r="I21" s="327"/>
      <c r="J21" s="354"/>
      <c r="K21" s="355"/>
      <c r="L21" s="355"/>
      <c r="M21" s="355"/>
      <c r="N21" s="355"/>
      <c r="O21" s="356"/>
      <c r="P21" s="354"/>
      <c r="Q21" s="355"/>
      <c r="R21" s="355"/>
      <c r="S21" s="355"/>
      <c r="T21" s="355"/>
      <c r="U21" s="356"/>
      <c r="V21" s="339"/>
      <c r="W21" s="340"/>
      <c r="X21" s="340"/>
      <c r="Y21" s="340"/>
      <c r="Z21" s="340"/>
      <c r="AA21" s="341"/>
      <c r="AB21" s="339"/>
      <c r="AC21" s="340"/>
      <c r="AD21" s="340"/>
      <c r="AE21" s="340"/>
      <c r="AF21" s="340"/>
      <c r="AG21" s="341"/>
      <c r="AH21" s="345"/>
      <c r="AI21" s="346"/>
      <c r="AJ21" s="346"/>
      <c r="AK21" s="346"/>
      <c r="AL21" s="346"/>
      <c r="AM21" s="347"/>
      <c r="AN21" s="84"/>
      <c r="AO21" s="299"/>
      <c r="AP21" s="300"/>
      <c r="AQ21" s="300"/>
      <c r="AR21" s="300"/>
      <c r="AS21" s="300"/>
      <c r="AT21" s="30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2"/>
      <c r="C22" s="282"/>
      <c r="D22" s="283"/>
      <c r="E22" s="320" t="s">
        <v>109</v>
      </c>
      <c r="F22" s="321"/>
      <c r="G22" s="321"/>
      <c r="H22" s="321"/>
      <c r="I22" s="322"/>
      <c r="J22" s="357" t="str">
        <f ca="1">IF(AND('Mapa final'!$J$11="Media",'Mapa final'!$N$11="Leve"),CONCATENATE("R",'Mapa final'!$A$11),"")</f>
        <v/>
      </c>
      <c r="K22" s="358"/>
      <c r="L22" s="358" t="str">
        <f ca="1">IF(AND('Mapa final'!$J$15="Media",'Mapa final'!$N$15="Leve"),CONCATENATE("R",'Mapa final'!$A$15),"")</f>
        <v/>
      </c>
      <c r="M22" s="358"/>
      <c r="N22" s="358" t="str">
        <f ca="1">IF(AND('Mapa final'!$J$21="Media",'Mapa final'!$N$21="Leve"),CONCATENATE("R",'Mapa final'!$A$21),"")</f>
        <v/>
      </c>
      <c r="O22" s="359"/>
      <c r="P22" s="357" t="str">
        <f ca="1">IF(AND('Mapa final'!$J$11="Media",'Mapa final'!$N$11="Menor"),CONCATENATE("R",'Mapa final'!$A$11),"")</f>
        <v/>
      </c>
      <c r="Q22" s="358"/>
      <c r="R22" s="358" t="str">
        <f ca="1">IF(AND('Mapa final'!$J$15="Media",'Mapa final'!$N$15="Menor"),CONCATENATE("R",'Mapa final'!$A$15),"")</f>
        <v/>
      </c>
      <c r="S22" s="358"/>
      <c r="T22" s="358" t="str">
        <f ca="1">IF(AND('Mapa final'!$J$21="Media",'Mapa final'!$N$21="Menor"),CONCATENATE("R",'Mapa final'!$A$21),"")</f>
        <v/>
      </c>
      <c r="U22" s="359"/>
      <c r="V22" s="357" t="str">
        <f ca="1">IF(AND('Mapa final'!$J$11="Media",'Mapa final'!$N$11="Moderado"),CONCATENATE("R",'Mapa final'!$A$11),"")</f>
        <v>R1</v>
      </c>
      <c r="W22" s="358"/>
      <c r="X22" s="358" t="str">
        <f ca="1">IF(AND('Mapa final'!$J$15="Media",'Mapa final'!$N$15="Moderado"),CONCATENATE("R",'Mapa final'!$A$15),"")</f>
        <v/>
      </c>
      <c r="Y22" s="358"/>
      <c r="Z22" s="358" t="str">
        <f ca="1">IF(AND('Mapa final'!$J$21="Media",'Mapa final'!$N$21="Moderado"),CONCATENATE("R",'Mapa final'!$A$21),"")</f>
        <v/>
      </c>
      <c r="AA22" s="359"/>
      <c r="AB22" s="332" t="str">
        <f ca="1">IF(AND('Mapa final'!$J$11="Media",'Mapa final'!$N$11="Mayor"),CONCATENATE("R",'Mapa final'!$A$11),"")</f>
        <v/>
      </c>
      <c r="AC22" s="333"/>
      <c r="AD22" s="333" t="str">
        <f ca="1">IF(AND('Mapa final'!$J$15="Media",'Mapa final'!$N$15="Mayor"),CONCATENATE("R",'Mapa final'!$A$15),"")</f>
        <v/>
      </c>
      <c r="AE22" s="333"/>
      <c r="AF22" s="333" t="str">
        <f ca="1">IF(AND('Mapa final'!$J$21="Media",'Mapa final'!$N$21="Mayor"),CONCATENATE("R",'Mapa final'!$A$21),"")</f>
        <v/>
      </c>
      <c r="AG22" s="335"/>
      <c r="AH22" s="348" t="str">
        <f ca="1">IF(AND('Mapa final'!$J$11="Media",'Mapa final'!$N$11="Catastrófico"),CONCATENATE("R",'Mapa final'!$A$11),"")</f>
        <v/>
      </c>
      <c r="AI22" s="349"/>
      <c r="AJ22" s="349" t="str">
        <f ca="1">IF(AND('Mapa final'!$J$15="Media",'Mapa final'!$N$15="Catastrófico"),CONCATENATE("R",'Mapa final'!$A$15),"")</f>
        <v/>
      </c>
      <c r="AK22" s="349"/>
      <c r="AL22" s="349" t="str">
        <f ca="1">IF(AND('Mapa final'!$J$21="Media",'Mapa final'!$N$21="Catastrófico"),CONCATENATE("R",'Mapa final'!$A$21),"")</f>
        <v/>
      </c>
      <c r="AM22" s="350"/>
      <c r="AN22" s="84"/>
      <c r="AO22" s="302" t="s">
        <v>78</v>
      </c>
      <c r="AP22" s="303"/>
      <c r="AQ22" s="303"/>
      <c r="AR22" s="303"/>
      <c r="AS22" s="303"/>
      <c r="AT22" s="30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2"/>
      <c r="C23" s="282"/>
      <c r="D23" s="283"/>
      <c r="E23" s="323"/>
      <c r="F23" s="324"/>
      <c r="G23" s="324"/>
      <c r="H23" s="324"/>
      <c r="I23" s="325"/>
      <c r="J23" s="351"/>
      <c r="K23" s="352"/>
      <c r="L23" s="352"/>
      <c r="M23" s="352"/>
      <c r="N23" s="352"/>
      <c r="O23" s="353"/>
      <c r="P23" s="351"/>
      <c r="Q23" s="352"/>
      <c r="R23" s="352"/>
      <c r="S23" s="352"/>
      <c r="T23" s="352"/>
      <c r="U23" s="353"/>
      <c r="V23" s="351"/>
      <c r="W23" s="352"/>
      <c r="X23" s="352"/>
      <c r="Y23" s="352"/>
      <c r="Z23" s="352"/>
      <c r="AA23" s="353"/>
      <c r="AB23" s="334"/>
      <c r="AC23" s="331"/>
      <c r="AD23" s="331"/>
      <c r="AE23" s="331"/>
      <c r="AF23" s="331"/>
      <c r="AG23" s="330"/>
      <c r="AH23" s="342"/>
      <c r="AI23" s="343"/>
      <c r="AJ23" s="343"/>
      <c r="AK23" s="343"/>
      <c r="AL23" s="343"/>
      <c r="AM23" s="344"/>
      <c r="AN23" s="84"/>
      <c r="AO23" s="305"/>
      <c r="AP23" s="306"/>
      <c r="AQ23" s="306"/>
      <c r="AR23" s="306"/>
      <c r="AS23" s="306"/>
      <c r="AT23" s="307"/>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2"/>
      <c r="C24" s="282"/>
      <c r="D24" s="283"/>
      <c r="E24" s="323"/>
      <c r="F24" s="324"/>
      <c r="G24" s="324"/>
      <c r="H24" s="324"/>
      <c r="I24" s="325"/>
      <c r="J24" s="351" t="str">
        <f ca="1">IF(AND('Mapa final'!$J$27="Media",'Mapa final'!$N$27="Leve"),CONCATENATE("R",'Mapa final'!$A$27),"")</f>
        <v/>
      </c>
      <c r="K24" s="352"/>
      <c r="L24" s="352" t="str">
        <f ca="1">IF(AND('Mapa final'!$J$33="Media",'Mapa final'!$N$33="Leve"),CONCATENATE("R",'Mapa final'!$A$33),"")</f>
        <v/>
      </c>
      <c r="M24" s="352"/>
      <c r="N24" s="352" t="str">
        <f ca="1">IF(AND('Mapa final'!$J$39="Media",'Mapa final'!$N$39="Leve"),CONCATENATE("R",'Mapa final'!$A$39),"")</f>
        <v/>
      </c>
      <c r="O24" s="353"/>
      <c r="P24" s="351" t="str">
        <f ca="1">IF(AND('Mapa final'!$J$27="Media",'Mapa final'!$N$27="Menor"),CONCATENATE("R",'Mapa final'!$A$27),"")</f>
        <v/>
      </c>
      <c r="Q24" s="352"/>
      <c r="R24" s="352" t="str">
        <f ca="1">IF(AND('Mapa final'!$J$33="Media",'Mapa final'!$N$33="Menor"),CONCATENATE("R",'Mapa final'!$A$33),"")</f>
        <v/>
      </c>
      <c r="S24" s="352"/>
      <c r="T24" s="352" t="str">
        <f ca="1">IF(AND('Mapa final'!$J$39="Media",'Mapa final'!$N$39="Menor"),CONCATENATE("R",'Mapa final'!$A$39),"")</f>
        <v/>
      </c>
      <c r="U24" s="353"/>
      <c r="V24" s="351" t="str">
        <f ca="1">IF(AND('Mapa final'!$J$27="Media",'Mapa final'!$N$27="Moderado"),CONCATENATE("R",'Mapa final'!$A$27),"")</f>
        <v/>
      </c>
      <c r="W24" s="352"/>
      <c r="X24" s="352" t="str">
        <f ca="1">IF(AND('Mapa final'!$J$33="Media",'Mapa final'!$N$33="Moderado"),CONCATENATE("R",'Mapa final'!$A$33),"")</f>
        <v/>
      </c>
      <c r="Y24" s="352"/>
      <c r="Z24" s="352" t="str">
        <f ca="1">IF(AND('Mapa final'!$J$39="Media",'Mapa final'!$N$39="Moderado"),CONCATENATE("R",'Mapa final'!$A$39),"")</f>
        <v/>
      </c>
      <c r="AA24" s="353"/>
      <c r="AB24" s="334" t="str">
        <f ca="1">IF(AND('Mapa final'!$J$27="Media",'Mapa final'!$N$27="Mayor"),CONCATENATE("R",'Mapa final'!$A$27),"")</f>
        <v/>
      </c>
      <c r="AC24" s="331"/>
      <c r="AD24" s="329" t="str">
        <f ca="1">IF(AND('Mapa final'!$J$33="Media",'Mapa final'!$N$33="Mayor"),CONCATENATE("R",'Mapa final'!$A$33),"")</f>
        <v/>
      </c>
      <c r="AE24" s="329"/>
      <c r="AF24" s="329" t="str">
        <f ca="1">IF(AND('Mapa final'!$J$39="Media",'Mapa final'!$N$39="Mayor"),CONCATENATE("R",'Mapa final'!$A$39),"")</f>
        <v/>
      </c>
      <c r="AG24" s="330"/>
      <c r="AH24" s="342" t="str">
        <f ca="1">IF(AND('Mapa final'!$J$27="Media",'Mapa final'!$N$27="Catastrófico"),CONCATENATE("R",'Mapa final'!$A$27),"")</f>
        <v/>
      </c>
      <c r="AI24" s="343"/>
      <c r="AJ24" s="343" t="str">
        <f ca="1">IF(AND('Mapa final'!$J$33="Media",'Mapa final'!$N$33="Catastrófico"),CONCATENATE("R",'Mapa final'!$A$33),"")</f>
        <v/>
      </c>
      <c r="AK24" s="343"/>
      <c r="AL24" s="343" t="str">
        <f ca="1">IF(AND('Mapa final'!$J$39="Media",'Mapa final'!$N$39="Catastrófico"),CONCATENATE("R",'Mapa final'!$A$39),"")</f>
        <v/>
      </c>
      <c r="AM24" s="344"/>
      <c r="AN24" s="84"/>
      <c r="AO24" s="305"/>
      <c r="AP24" s="306"/>
      <c r="AQ24" s="306"/>
      <c r="AR24" s="306"/>
      <c r="AS24" s="306"/>
      <c r="AT24" s="307"/>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2"/>
      <c r="C25" s="282"/>
      <c r="D25" s="283"/>
      <c r="E25" s="323"/>
      <c r="F25" s="324"/>
      <c r="G25" s="324"/>
      <c r="H25" s="324"/>
      <c r="I25" s="325"/>
      <c r="J25" s="351"/>
      <c r="K25" s="352"/>
      <c r="L25" s="352"/>
      <c r="M25" s="352"/>
      <c r="N25" s="352"/>
      <c r="O25" s="353"/>
      <c r="P25" s="351"/>
      <c r="Q25" s="352"/>
      <c r="R25" s="352"/>
      <c r="S25" s="352"/>
      <c r="T25" s="352"/>
      <c r="U25" s="353"/>
      <c r="V25" s="351"/>
      <c r="W25" s="352"/>
      <c r="X25" s="352"/>
      <c r="Y25" s="352"/>
      <c r="Z25" s="352"/>
      <c r="AA25" s="353"/>
      <c r="AB25" s="334"/>
      <c r="AC25" s="331"/>
      <c r="AD25" s="329"/>
      <c r="AE25" s="329"/>
      <c r="AF25" s="329"/>
      <c r="AG25" s="330"/>
      <c r="AH25" s="342"/>
      <c r="AI25" s="343"/>
      <c r="AJ25" s="343"/>
      <c r="AK25" s="343"/>
      <c r="AL25" s="343"/>
      <c r="AM25" s="344"/>
      <c r="AN25" s="84"/>
      <c r="AO25" s="305"/>
      <c r="AP25" s="306"/>
      <c r="AQ25" s="306"/>
      <c r="AR25" s="306"/>
      <c r="AS25" s="306"/>
      <c r="AT25" s="307"/>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2"/>
      <c r="C26" s="282"/>
      <c r="D26" s="283"/>
      <c r="E26" s="323"/>
      <c r="F26" s="324"/>
      <c r="G26" s="324"/>
      <c r="H26" s="324"/>
      <c r="I26" s="325"/>
      <c r="J26" s="351" t="str">
        <f ca="1">IF(AND('Mapa final'!$J$45="Media",'Mapa final'!$N$45="Leve"),CONCATENATE("R",'Mapa final'!$A$45),"")</f>
        <v/>
      </c>
      <c r="K26" s="352"/>
      <c r="L26" s="352" t="str">
        <f ca="1">IF(AND('Mapa final'!$J$51="Media",'Mapa final'!$N$51="Leve"),CONCATENATE("R",'Mapa final'!$A$51),"")</f>
        <v/>
      </c>
      <c r="M26" s="352"/>
      <c r="N26" s="352" t="str">
        <f ca="1">IF(AND('Mapa final'!$J$57="Media",'Mapa final'!$N$57="Leve"),CONCATENATE("R",'Mapa final'!$A$57),"")</f>
        <v/>
      </c>
      <c r="O26" s="353"/>
      <c r="P26" s="351" t="str">
        <f ca="1">IF(AND('Mapa final'!$J$45="Media",'Mapa final'!$N$45="Menor"),CONCATENATE("R",'Mapa final'!$A$45),"")</f>
        <v/>
      </c>
      <c r="Q26" s="352"/>
      <c r="R26" s="352" t="str">
        <f ca="1">IF(AND('Mapa final'!$J$51="Media",'Mapa final'!$N$51="Menor"),CONCATENATE("R",'Mapa final'!$A$51),"")</f>
        <v/>
      </c>
      <c r="S26" s="352"/>
      <c r="T26" s="352" t="str">
        <f ca="1">IF(AND('Mapa final'!$J$57="Media",'Mapa final'!$N$57="Menor"),CONCATENATE("R",'Mapa final'!$A$57),"")</f>
        <v/>
      </c>
      <c r="U26" s="353"/>
      <c r="V26" s="351" t="str">
        <f ca="1">IF(AND('Mapa final'!$J$45="Media",'Mapa final'!$N$45="Moderado"),CONCATENATE("R",'Mapa final'!$A$45),"")</f>
        <v/>
      </c>
      <c r="W26" s="352"/>
      <c r="X26" s="352" t="str">
        <f ca="1">IF(AND('Mapa final'!$J$51="Media",'Mapa final'!$N$51="Moderado"),CONCATENATE("R",'Mapa final'!$A$51),"")</f>
        <v/>
      </c>
      <c r="Y26" s="352"/>
      <c r="Z26" s="352" t="str">
        <f ca="1">IF(AND('Mapa final'!$J$57="Media",'Mapa final'!$N$57="Moderado"),CONCATENATE("R",'Mapa final'!$A$57),"")</f>
        <v/>
      </c>
      <c r="AA26" s="353"/>
      <c r="AB26" s="334" t="str">
        <f ca="1">IF(AND('Mapa final'!$J$45="Media",'Mapa final'!$N$45="Mayor"),CONCATENATE("R",'Mapa final'!$A$45),"")</f>
        <v/>
      </c>
      <c r="AC26" s="331"/>
      <c r="AD26" s="329" t="str">
        <f ca="1">IF(AND('Mapa final'!$J$51="Media",'Mapa final'!$N$51="Mayor"),CONCATENATE("R",'Mapa final'!$A$51),"")</f>
        <v/>
      </c>
      <c r="AE26" s="329"/>
      <c r="AF26" s="329" t="str">
        <f ca="1">IF(AND('Mapa final'!$J$57="Media",'Mapa final'!$N$57="Mayor"),CONCATENATE("R",'Mapa final'!$A$57),"")</f>
        <v/>
      </c>
      <c r="AG26" s="330"/>
      <c r="AH26" s="342" t="str">
        <f ca="1">IF(AND('Mapa final'!$J$45="Media",'Mapa final'!$N$45="Catastrófico"),CONCATENATE("R",'Mapa final'!$A$45),"")</f>
        <v/>
      </c>
      <c r="AI26" s="343"/>
      <c r="AJ26" s="343" t="str">
        <f ca="1">IF(AND('Mapa final'!$J$51="Media",'Mapa final'!$N$51="Catastrófico"),CONCATENATE("R",'Mapa final'!$A$51),"")</f>
        <v/>
      </c>
      <c r="AK26" s="343"/>
      <c r="AL26" s="343" t="str">
        <f ca="1">IF(AND('Mapa final'!$J$57="Media",'Mapa final'!$N$57="Catastrófico"),CONCATENATE("R",'Mapa final'!$A$57),"")</f>
        <v/>
      </c>
      <c r="AM26" s="344"/>
      <c r="AN26" s="84"/>
      <c r="AO26" s="305"/>
      <c r="AP26" s="306"/>
      <c r="AQ26" s="306"/>
      <c r="AR26" s="306"/>
      <c r="AS26" s="306"/>
      <c r="AT26" s="307"/>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2"/>
      <c r="C27" s="282"/>
      <c r="D27" s="283"/>
      <c r="E27" s="323"/>
      <c r="F27" s="324"/>
      <c r="G27" s="324"/>
      <c r="H27" s="324"/>
      <c r="I27" s="325"/>
      <c r="J27" s="351"/>
      <c r="K27" s="352"/>
      <c r="L27" s="352"/>
      <c r="M27" s="352"/>
      <c r="N27" s="352"/>
      <c r="O27" s="353"/>
      <c r="P27" s="351"/>
      <c r="Q27" s="352"/>
      <c r="R27" s="352"/>
      <c r="S27" s="352"/>
      <c r="T27" s="352"/>
      <c r="U27" s="353"/>
      <c r="V27" s="351"/>
      <c r="W27" s="352"/>
      <c r="X27" s="352"/>
      <c r="Y27" s="352"/>
      <c r="Z27" s="352"/>
      <c r="AA27" s="353"/>
      <c r="AB27" s="334"/>
      <c r="AC27" s="331"/>
      <c r="AD27" s="329"/>
      <c r="AE27" s="329"/>
      <c r="AF27" s="329"/>
      <c r="AG27" s="330"/>
      <c r="AH27" s="342"/>
      <c r="AI27" s="343"/>
      <c r="AJ27" s="343"/>
      <c r="AK27" s="343"/>
      <c r="AL27" s="343"/>
      <c r="AM27" s="344"/>
      <c r="AN27" s="84"/>
      <c r="AO27" s="305"/>
      <c r="AP27" s="306"/>
      <c r="AQ27" s="306"/>
      <c r="AR27" s="306"/>
      <c r="AS27" s="306"/>
      <c r="AT27" s="307"/>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2"/>
      <c r="C28" s="282"/>
      <c r="D28" s="283"/>
      <c r="E28" s="323"/>
      <c r="F28" s="324"/>
      <c r="G28" s="324"/>
      <c r="H28" s="324"/>
      <c r="I28" s="325"/>
      <c r="J28" s="351" t="str">
        <f ca="1">IF(AND('Mapa final'!$J$63="Media",'Mapa final'!$N$63="Leve"),CONCATENATE("R",'Mapa final'!$A$63),"")</f>
        <v/>
      </c>
      <c r="K28" s="352"/>
      <c r="L28" s="352" t="str">
        <f>IF(AND('Mapa final'!$J$69="Media",'Mapa final'!$N$69="Leve"),CONCATENATE("R",'Mapa final'!$A$69),"")</f>
        <v/>
      </c>
      <c r="M28" s="352"/>
      <c r="N28" s="352" t="str">
        <f>IF(AND('Mapa final'!$J$75="Media",'Mapa final'!$N$75="Leve"),CONCATENATE("R",'Mapa final'!$A$75),"")</f>
        <v/>
      </c>
      <c r="O28" s="353"/>
      <c r="P28" s="351" t="str">
        <f ca="1">IF(AND('Mapa final'!$J$63="Media",'Mapa final'!$N$63="Menor"),CONCATENATE("R",'Mapa final'!$A$63),"")</f>
        <v/>
      </c>
      <c r="Q28" s="352"/>
      <c r="R28" s="352" t="str">
        <f>IF(AND('Mapa final'!$J$69="Media",'Mapa final'!$N$69="Menor"),CONCATENATE("R",'Mapa final'!$A$69),"")</f>
        <v/>
      </c>
      <c r="S28" s="352"/>
      <c r="T28" s="352" t="str">
        <f>IF(AND('Mapa final'!$J$75="Media",'Mapa final'!$N$75="Menor"),CONCATENATE("R",'Mapa final'!$A$75),"")</f>
        <v/>
      </c>
      <c r="U28" s="353"/>
      <c r="V28" s="351" t="str">
        <f ca="1">IF(AND('Mapa final'!$J$63="Media",'Mapa final'!$N$63="Moderado"),CONCATENATE("R",'Mapa final'!$A$63),"")</f>
        <v/>
      </c>
      <c r="W28" s="352"/>
      <c r="X28" s="352" t="str">
        <f>IF(AND('Mapa final'!$J$69="Media",'Mapa final'!$N$69="Moderado"),CONCATENATE("R",'Mapa final'!$A$69),"")</f>
        <v/>
      </c>
      <c r="Y28" s="352"/>
      <c r="Z28" s="352" t="str">
        <f>IF(AND('Mapa final'!$J$75="Media",'Mapa final'!$N$75="Moderado"),CONCATENATE("R",'Mapa final'!$A$75),"")</f>
        <v/>
      </c>
      <c r="AA28" s="353"/>
      <c r="AB28" s="334" t="str">
        <f ca="1">IF(AND('Mapa final'!$J$63="Media",'Mapa final'!$N$63="Mayor"),CONCATENATE("R",'Mapa final'!$A$63),"")</f>
        <v/>
      </c>
      <c r="AC28" s="331"/>
      <c r="AD28" s="329" t="str">
        <f>IF(AND('Mapa final'!$J$69="Media",'Mapa final'!$N$69="Mayor"),CONCATENATE("R",'Mapa final'!$A$69),"")</f>
        <v/>
      </c>
      <c r="AE28" s="329"/>
      <c r="AF28" s="329" t="str">
        <f>IF(AND('Mapa final'!$J$75="Media",'Mapa final'!$N$75="Mayor"),CONCATENATE("R",'Mapa final'!$A$75),"")</f>
        <v/>
      </c>
      <c r="AG28" s="330"/>
      <c r="AH28" s="342" t="str">
        <f ca="1">IF(AND('Mapa final'!$J$63="Media",'Mapa final'!$N$63="Catastrófico"),CONCATENATE("R",'Mapa final'!$A$63),"")</f>
        <v/>
      </c>
      <c r="AI28" s="343"/>
      <c r="AJ28" s="343" t="str">
        <f>IF(AND('Mapa final'!$J$69="Media",'Mapa final'!$N$69="Catastrófico"),CONCATENATE("R",'Mapa final'!$A$69),"")</f>
        <v/>
      </c>
      <c r="AK28" s="343"/>
      <c r="AL28" s="343" t="str">
        <f>IF(AND('Mapa final'!$J$75="Media",'Mapa final'!$N$75="Catastrófico"),CONCATENATE("R",'Mapa final'!$A$75),"")</f>
        <v/>
      </c>
      <c r="AM28" s="344"/>
      <c r="AN28" s="84"/>
      <c r="AO28" s="305"/>
      <c r="AP28" s="306"/>
      <c r="AQ28" s="306"/>
      <c r="AR28" s="306"/>
      <c r="AS28" s="306"/>
      <c r="AT28" s="307"/>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2"/>
      <c r="C29" s="282"/>
      <c r="D29" s="283"/>
      <c r="E29" s="326"/>
      <c r="F29" s="327"/>
      <c r="G29" s="327"/>
      <c r="H29" s="327"/>
      <c r="I29" s="328"/>
      <c r="J29" s="351"/>
      <c r="K29" s="352"/>
      <c r="L29" s="352"/>
      <c r="M29" s="352"/>
      <c r="N29" s="352"/>
      <c r="O29" s="353"/>
      <c r="P29" s="354"/>
      <c r="Q29" s="355"/>
      <c r="R29" s="355"/>
      <c r="S29" s="355"/>
      <c r="T29" s="355"/>
      <c r="U29" s="356"/>
      <c r="V29" s="354"/>
      <c r="W29" s="355"/>
      <c r="X29" s="355"/>
      <c r="Y29" s="355"/>
      <c r="Z29" s="355"/>
      <c r="AA29" s="356"/>
      <c r="AB29" s="339"/>
      <c r="AC29" s="340"/>
      <c r="AD29" s="340"/>
      <c r="AE29" s="340"/>
      <c r="AF29" s="340"/>
      <c r="AG29" s="341"/>
      <c r="AH29" s="345"/>
      <c r="AI29" s="346"/>
      <c r="AJ29" s="346"/>
      <c r="AK29" s="346"/>
      <c r="AL29" s="346"/>
      <c r="AM29" s="347"/>
      <c r="AN29" s="84"/>
      <c r="AO29" s="308"/>
      <c r="AP29" s="309"/>
      <c r="AQ29" s="309"/>
      <c r="AR29" s="309"/>
      <c r="AS29" s="309"/>
      <c r="AT29" s="310"/>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2"/>
      <c r="C30" s="282"/>
      <c r="D30" s="283"/>
      <c r="E30" s="320" t="s">
        <v>106</v>
      </c>
      <c r="F30" s="321"/>
      <c r="G30" s="321"/>
      <c r="H30" s="321"/>
      <c r="I30" s="321"/>
      <c r="J30" s="366" t="str">
        <f ca="1">IF(AND('Mapa final'!$J$11="Baja",'Mapa final'!$N$11="Leve"),CONCATENATE("R",'Mapa final'!$A$11),"")</f>
        <v/>
      </c>
      <c r="K30" s="367"/>
      <c r="L30" s="367" t="str">
        <f ca="1">IF(AND('Mapa final'!$J$15="Baja",'Mapa final'!$N$15="Leve"),CONCATENATE("R",'Mapa final'!$A$15),"")</f>
        <v/>
      </c>
      <c r="M30" s="367"/>
      <c r="N30" s="367" t="str">
        <f ca="1">IF(AND('Mapa final'!$J$21="Baja",'Mapa final'!$N$21="Leve"),CONCATENATE("R",'Mapa final'!$A$21),"")</f>
        <v/>
      </c>
      <c r="O30" s="368"/>
      <c r="P30" s="358" t="str">
        <f ca="1">IF(AND('Mapa final'!$J$11="Baja",'Mapa final'!$N$11="Menor"),CONCATENATE("R",'Mapa final'!$A$11),"")</f>
        <v/>
      </c>
      <c r="Q30" s="358"/>
      <c r="R30" s="358" t="str">
        <f ca="1">IF(AND('Mapa final'!$J$15="Baja",'Mapa final'!$N$15="Menor"),CONCATENATE("R",'Mapa final'!$A$15),"")</f>
        <v/>
      </c>
      <c r="S30" s="358"/>
      <c r="T30" s="358" t="str">
        <f ca="1">IF(AND('Mapa final'!$J$21="Baja",'Mapa final'!$N$21="Menor"),CONCATENATE("R",'Mapa final'!$A$21),"")</f>
        <v/>
      </c>
      <c r="U30" s="359"/>
      <c r="V30" s="357" t="str">
        <f ca="1">IF(AND('Mapa final'!$J$11="Baja",'Mapa final'!$N$11="Moderado"),CONCATENATE("R",'Mapa final'!$A$11),"")</f>
        <v/>
      </c>
      <c r="W30" s="358"/>
      <c r="X30" s="358" t="str">
        <f ca="1">IF(AND('Mapa final'!$J$15="Baja",'Mapa final'!$N$15="Moderado"),CONCATENATE("R",'Mapa final'!$A$15),"")</f>
        <v/>
      </c>
      <c r="Y30" s="358"/>
      <c r="Z30" s="358" t="str">
        <f ca="1">IF(AND('Mapa final'!$J$21="Baja",'Mapa final'!$N$21="Moderado"),CONCATENATE("R",'Mapa final'!$A$21),"")</f>
        <v/>
      </c>
      <c r="AA30" s="359"/>
      <c r="AB30" s="332" t="str">
        <f ca="1">IF(AND('Mapa final'!$J$11="Baja",'Mapa final'!$N$11="Mayor"),CONCATENATE("R",'Mapa final'!$A$11),"")</f>
        <v/>
      </c>
      <c r="AC30" s="333"/>
      <c r="AD30" s="333" t="str">
        <f ca="1">IF(AND('Mapa final'!$J$15="Baja",'Mapa final'!$N$15="Mayor"),CONCATENATE("R",'Mapa final'!$A$15),"")</f>
        <v/>
      </c>
      <c r="AE30" s="333"/>
      <c r="AF30" s="333" t="str">
        <f ca="1">IF(AND('Mapa final'!$J$21="Baja",'Mapa final'!$N$21="Mayor"),CONCATENATE("R",'Mapa final'!$A$21),"")</f>
        <v/>
      </c>
      <c r="AG30" s="335"/>
      <c r="AH30" s="348" t="str">
        <f ca="1">IF(AND('Mapa final'!$J$11="Baja",'Mapa final'!$N$11="Catastrófico"),CONCATENATE("R",'Mapa final'!$A$11),"")</f>
        <v/>
      </c>
      <c r="AI30" s="349"/>
      <c r="AJ30" s="349" t="str">
        <f ca="1">IF(AND('Mapa final'!$J$15="Baja",'Mapa final'!$N$15="Catastrófico"),CONCATENATE("R",'Mapa final'!$A$15),"")</f>
        <v/>
      </c>
      <c r="AK30" s="349"/>
      <c r="AL30" s="349" t="str">
        <f ca="1">IF(AND('Mapa final'!$J$21="Baja",'Mapa final'!$N$21="Catastrófico"),CONCATENATE("R",'Mapa final'!$A$21),"")</f>
        <v/>
      </c>
      <c r="AM30" s="350"/>
      <c r="AN30" s="84"/>
      <c r="AO30" s="311" t="s">
        <v>79</v>
      </c>
      <c r="AP30" s="312"/>
      <c r="AQ30" s="312"/>
      <c r="AR30" s="312"/>
      <c r="AS30" s="312"/>
      <c r="AT30" s="313"/>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2"/>
      <c r="C31" s="282"/>
      <c r="D31" s="283"/>
      <c r="E31" s="323"/>
      <c r="F31" s="324"/>
      <c r="G31" s="324"/>
      <c r="H31" s="324"/>
      <c r="I31" s="337"/>
      <c r="J31" s="362"/>
      <c r="K31" s="360"/>
      <c r="L31" s="360"/>
      <c r="M31" s="360"/>
      <c r="N31" s="360"/>
      <c r="O31" s="361"/>
      <c r="P31" s="352"/>
      <c r="Q31" s="352"/>
      <c r="R31" s="352"/>
      <c r="S31" s="352"/>
      <c r="T31" s="352"/>
      <c r="U31" s="353"/>
      <c r="V31" s="351"/>
      <c r="W31" s="352"/>
      <c r="X31" s="352"/>
      <c r="Y31" s="352"/>
      <c r="Z31" s="352"/>
      <c r="AA31" s="353"/>
      <c r="AB31" s="334"/>
      <c r="AC31" s="331"/>
      <c r="AD31" s="331"/>
      <c r="AE31" s="331"/>
      <c r="AF31" s="331"/>
      <c r="AG31" s="330"/>
      <c r="AH31" s="342"/>
      <c r="AI31" s="343"/>
      <c r="AJ31" s="343"/>
      <c r="AK31" s="343"/>
      <c r="AL31" s="343"/>
      <c r="AM31" s="344"/>
      <c r="AN31" s="84"/>
      <c r="AO31" s="314"/>
      <c r="AP31" s="315"/>
      <c r="AQ31" s="315"/>
      <c r="AR31" s="315"/>
      <c r="AS31" s="315"/>
      <c r="AT31" s="316"/>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2"/>
      <c r="C32" s="282"/>
      <c r="D32" s="283"/>
      <c r="E32" s="323"/>
      <c r="F32" s="324"/>
      <c r="G32" s="324"/>
      <c r="H32" s="324"/>
      <c r="I32" s="337"/>
      <c r="J32" s="362" t="str">
        <f ca="1">IF(AND('Mapa final'!$J$27="Baja",'Mapa final'!$N$27="Leve"),CONCATENATE("R",'Mapa final'!$A$27),"")</f>
        <v/>
      </c>
      <c r="K32" s="360"/>
      <c r="L32" s="360" t="str">
        <f ca="1">IF(AND('Mapa final'!$J$33="Baja",'Mapa final'!$N$33="Leve"),CONCATENATE("R",'Mapa final'!$A$33),"")</f>
        <v/>
      </c>
      <c r="M32" s="360"/>
      <c r="N32" s="360" t="str">
        <f ca="1">IF(AND('Mapa final'!$J$39="Baja",'Mapa final'!$N$39="Leve"),CONCATENATE("R",'Mapa final'!$A$39),"")</f>
        <v/>
      </c>
      <c r="O32" s="361"/>
      <c r="P32" s="352" t="str">
        <f ca="1">IF(AND('Mapa final'!$J$27="Baja",'Mapa final'!$N$27="Menor"),CONCATENATE("R",'Mapa final'!$A$27),"")</f>
        <v/>
      </c>
      <c r="Q32" s="352"/>
      <c r="R32" s="352" t="str">
        <f ca="1">IF(AND('Mapa final'!$J$33="Baja",'Mapa final'!$N$33="Menor"),CONCATENATE("R",'Mapa final'!$A$33),"")</f>
        <v/>
      </c>
      <c r="S32" s="352"/>
      <c r="T32" s="352" t="str">
        <f ca="1">IF(AND('Mapa final'!$J$39="Baja",'Mapa final'!$N$39="Menor"),CONCATENATE("R",'Mapa final'!$A$39),"")</f>
        <v/>
      </c>
      <c r="U32" s="353"/>
      <c r="V32" s="351" t="str">
        <f ca="1">IF(AND('Mapa final'!$J$27="Baja",'Mapa final'!$N$27="Moderado"),CONCATENATE("R",'Mapa final'!$A$27),"")</f>
        <v/>
      </c>
      <c r="W32" s="352"/>
      <c r="X32" s="352" t="str">
        <f ca="1">IF(AND('Mapa final'!$J$33="Baja",'Mapa final'!$N$33="Moderado"),CONCATENATE("R",'Mapa final'!$A$33),"")</f>
        <v/>
      </c>
      <c r="Y32" s="352"/>
      <c r="Z32" s="352" t="str">
        <f ca="1">IF(AND('Mapa final'!$J$39="Baja",'Mapa final'!$N$39="Moderado"),CONCATENATE("R",'Mapa final'!$A$39),"")</f>
        <v/>
      </c>
      <c r="AA32" s="353"/>
      <c r="AB32" s="334" t="str">
        <f ca="1">IF(AND('Mapa final'!$J$27="Baja",'Mapa final'!$N$27="Mayor"),CONCATENATE("R",'Mapa final'!$A$27),"")</f>
        <v/>
      </c>
      <c r="AC32" s="331"/>
      <c r="AD32" s="329" t="str">
        <f ca="1">IF(AND('Mapa final'!$J$33="Baja",'Mapa final'!$N$33="Mayor"),CONCATENATE("R",'Mapa final'!$A$33),"")</f>
        <v/>
      </c>
      <c r="AE32" s="329"/>
      <c r="AF32" s="329" t="str">
        <f ca="1">IF(AND('Mapa final'!$J$39="Baja",'Mapa final'!$N$39="Mayor"),CONCATENATE("R",'Mapa final'!$A$39),"")</f>
        <v/>
      </c>
      <c r="AG32" s="330"/>
      <c r="AH32" s="342" t="str">
        <f ca="1">IF(AND('Mapa final'!$J$27="Baja",'Mapa final'!$N$27="Catastrófico"),CONCATENATE("R",'Mapa final'!$A$27),"")</f>
        <v/>
      </c>
      <c r="AI32" s="343"/>
      <c r="AJ32" s="343" t="str">
        <f ca="1">IF(AND('Mapa final'!$J$33="Baja",'Mapa final'!$N$33="Catastrófico"),CONCATENATE("R",'Mapa final'!$A$33),"")</f>
        <v/>
      </c>
      <c r="AK32" s="343"/>
      <c r="AL32" s="343" t="str">
        <f ca="1">IF(AND('Mapa final'!$J$39="Baja",'Mapa final'!$N$39="Catastrófico"),CONCATENATE("R",'Mapa final'!$A$39),"")</f>
        <v/>
      </c>
      <c r="AM32" s="344"/>
      <c r="AN32" s="84"/>
      <c r="AO32" s="314"/>
      <c r="AP32" s="315"/>
      <c r="AQ32" s="315"/>
      <c r="AR32" s="315"/>
      <c r="AS32" s="315"/>
      <c r="AT32" s="316"/>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2"/>
      <c r="C33" s="282"/>
      <c r="D33" s="283"/>
      <c r="E33" s="323"/>
      <c r="F33" s="324"/>
      <c r="G33" s="324"/>
      <c r="H33" s="324"/>
      <c r="I33" s="337"/>
      <c r="J33" s="362"/>
      <c r="K33" s="360"/>
      <c r="L33" s="360"/>
      <c r="M33" s="360"/>
      <c r="N33" s="360"/>
      <c r="O33" s="361"/>
      <c r="P33" s="352"/>
      <c r="Q33" s="352"/>
      <c r="R33" s="352"/>
      <c r="S33" s="352"/>
      <c r="T33" s="352"/>
      <c r="U33" s="353"/>
      <c r="V33" s="351"/>
      <c r="W33" s="352"/>
      <c r="X33" s="352"/>
      <c r="Y33" s="352"/>
      <c r="Z33" s="352"/>
      <c r="AA33" s="353"/>
      <c r="AB33" s="334"/>
      <c r="AC33" s="331"/>
      <c r="AD33" s="329"/>
      <c r="AE33" s="329"/>
      <c r="AF33" s="329"/>
      <c r="AG33" s="330"/>
      <c r="AH33" s="342"/>
      <c r="AI33" s="343"/>
      <c r="AJ33" s="343"/>
      <c r="AK33" s="343"/>
      <c r="AL33" s="343"/>
      <c r="AM33" s="344"/>
      <c r="AN33" s="84"/>
      <c r="AO33" s="314"/>
      <c r="AP33" s="315"/>
      <c r="AQ33" s="315"/>
      <c r="AR33" s="315"/>
      <c r="AS33" s="315"/>
      <c r="AT33" s="316"/>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2"/>
      <c r="C34" s="282"/>
      <c r="D34" s="283"/>
      <c r="E34" s="323"/>
      <c r="F34" s="324"/>
      <c r="G34" s="324"/>
      <c r="H34" s="324"/>
      <c r="I34" s="337"/>
      <c r="J34" s="362" t="str">
        <f ca="1">IF(AND('Mapa final'!$J$45="Baja",'Mapa final'!$N$45="Leve"),CONCATENATE("R",'Mapa final'!$A$45),"")</f>
        <v/>
      </c>
      <c r="K34" s="360"/>
      <c r="L34" s="360" t="str">
        <f ca="1">IF(AND('Mapa final'!$J$51="Baja",'Mapa final'!$N$51="Leve"),CONCATENATE("R",'Mapa final'!$A$51),"")</f>
        <v/>
      </c>
      <c r="M34" s="360"/>
      <c r="N34" s="360" t="str">
        <f ca="1">IF(AND('Mapa final'!$J$57="Baja",'Mapa final'!$N$57="Leve"),CONCATENATE("R",'Mapa final'!$A$57),"")</f>
        <v/>
      </c>
      <c r="O34" s="361"/>
      <c r="P34" s="352" t="str">
        <f ca="1">IF(AND('Mapa final'!$J$45="Baja",'Mapa final'!$N$45="Menor"),CONCATENATE("R",'Mapa final'!$A$45),"")</f>
        <v/>
      </c>
      <c r="Q34" s="352"/>
      <c r="R34" s="352" t="str">
        <f ca="1">IF(AND('Mapa final'!$J$51="Baja",'Mapa final'!$N$51="Menor"),CONCATENATE("R",'Mapa final'!$A$51),"")</f>
        <v/>
      </c>
      <c r="S34" s="352"/>
      <c r="T34" s="352" t="str">
        <f ca="1">IF(AND('Mapa final'!$J$57="Baja",'Mapa final'!$N$57="Menor"),CONCATENATE("R",'Mapa final'!$A$57),"")</f>
        <v/>
      </c>
      <c r="U34" s="353"/>
      <c r="V34" s="351" t="str">
        <f ca="1">IF(AND('Mapa final'!$J$45="Baja",'Mapa final'!$N$45="Moderado"),CONCATENATE("R",'Mapa final'!$A$45),"")</f>
        <v/>
      </c>
      <c r="W34" s="352"/>
      <c r="X34" s="352" t="str">
        <f ca="1">IF(AND('Mapa final'!$J$51="Baja",'Mapa final'!$N$51="Moderado"),CONCATENATE("R",'Mapa final'!$A$51),"")</f>
        <v/>
      </c>
      <c r="Y34" s="352"/>
      <c r="Z34" s="352" t="str">
        <f ca="1">IF(AND('Mapa final'!$J$57="Baja",'Mapa final'!$N$57="Moderado"),CONCATENATE("R",'Mapa final'!$A$57),"")</f>
        <v/>
      </c>
      <c r="AA34" s="353"/>
      <c r="AB34" s="334" t="str">
        <f ca="1">IF(AND('Mapa final'!$J$45="Baja",'Mapa final'!$N$45="Mayor"),CONCATENATE("R",'Mapa final'!$A$45),"")</f>
        <v/>
      </c>
      <c r="AC34" s="331"/>
      <c r="AD34" s="329" t="str">
        <f ca="1">IF(AND('Mapa final'!$J$51="Baja",'Mapa final'!$N$51="Mayor"),CONCATENATE("R",'Mapa final'!$A$51),"")</f>
        <v/>
      </c>
      <c r="AE34" s="329"/>
      <c r="AF34" s="329" t="str">
        <f ca="1">IF(AND('Mapa final'!$J$57="Baja",'Mapa final'!$N$57="Mayor"),CONCATENATE("R",'Mapa final'!$A$57),"")</f>
        <v/>
      </c>
      <c r="AG34" s="330"/>
      <c r="AH34" s="342" t="str">
        <f ca="1">IF(AND('Mapa final'!$J$45="Baja",'Mapa final'!$N$45="Catastrófico"),CONCATENATE("R",'Mapa final'!$A$45),"")</f>
        <v/>
      </c>
      <c r="AI34" s="343"/>
      <c r="AJ34" s="343" t="str">
        <f ca="1">IF(AND('Mapa final'!$J$51="Baja",'Mapa final'!$N$51="Catastrófico"),CONCATENATE("R",'Mapa final'!$A$51),"")</f>
        <v/>
      </c>
      <c r="AK34" s="343"/>
      <c r="AL34" s="343" t="str">
        <f ca="1">IF(AND('Mapa final'!$J$57="Baja",'Mapa final'!$N$57="Catastrófico"),CONCATENATE("R",'Mapa final'!$A$57),"")</f>
        <v/>
      </c>
      <c r="AM34" s="344"/>
      <c r="AN34" s="84"/>
      <c r="AO34" s="314"/>
      <c r="AP34" s="315"/>
      <c r="AQ34" s="315"/>
      <c r="AR34" s="315"/>
      <c r="AS34" s="315"/>
      <c r="AT34" s="316"/>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2"/>
      <c r="C35" s="282"/>
      <c r="D35" s="283"/>
      <c r="E35" s="323"/>
      <c r="F35" s="324"/>
      <c r="G35" s="324"/>
      <c r="H35" s="324"/>
      <c r="I35" s="337"/>
      <c r="J35" s="362"/>
      <c r="K35" s="360"/>
      <c r="L35" s="360"/>
      <c r="M35" s="360"/>
      <c r="N35" s="360"/>
      <c r="O35" s="361"/>
      <c r="P35" s="352"/>
      <c r="Q35" s="352"/>
      <c r="R35" s="352"/>
      <c r="S35" s="352"/>
      <c r="T35" s="352"/>
      <c r="U35" s="353"/>
      <c r="V35" s="351"/>
      <c r="W35" s="352"/>
      <c r="X35" s="352"/>
      <c r="Y35" s="352"/>
      <c r="Z35" s="352"/>
      <c r="AA35" s="353"/>
      <c r="AB35" s="334"/>
      <c r="AC35" s="331"/>
      <c r="AD35" s="329"/>
      <c r="AE35" s="329"/>
      <c r="AF35" s="329"/>
      <c r="AG35" s="330"/>
      <c r="AH35" s="342"/>
      <c r="AI35" s="343"/>
      <c r="AJ35" s="343"/>
      <c r="AK35" s="343"/>
      <c r="AL35" s="343"/>
      <c r="AM35" s="344"/>
      <c r="AN35" s="84"/>
      <c r="AO35" s="314"/>
      <c r="AP35" s="315"/>
      <c r="AQ35" s="315"/>
      <c r="AR35" s="315"/>
      <c r="AS35" s="315"/>
      <c r="AT35" s="316"/>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2"/>
      <c r="C36" s="282"/>
      <c r="D36" s="283"/>
      <c r="E36" s="323"/>
      <c r="F36" s="324"/>
      <c r="G36" s="324"/>
      <c r="H36" s="324"/>
      <c r="I36" s="337"/>
      <c r="J36" s="362" t="str">
        <f ca="1">IF(AND('Mapa final'!$J$63="Baja",'Mapa final'!$N$63="Leve"),CONCATENATE("R",'Mapa final'!$A$63),"")</f>
        <v/>
      </c>
      <c r="K36" s="360"/>
      <c r="L36" s="360" t="str">
        <f>IF(AND('Mapa final'!$J$69="Baja",'Mapa final'!$N$69="Leve"),CONCATENATE("R",'Mapa final'!$A$69),"")</f>
        <v/>
      </c>
      <c r="M36" s="360"/>
      <c r="N36" s="360" t="str">
        <f>IF(AND('Mapa final'!$J$75="Baja",'Mapa final'!$N$75="Leve"),CONCATENATE("R",'Mapa final'!$A$75),"")</f>
        <v/>
      </c>
      <c r="O36" s="361"/>
      <c r="P36" s="352" t="str">
        <f ca="1">IF(AND('Mapa final'!$J$63="Baja",'Mapa final'!$N$63="Menor"),CONCATENATE("R",'Mapa final'!$A$63),"")</f>
        <v/>
      </c>
      <c r="Q36" s="352"/>
      <c r="R36" s="352" t="str">
        <f>IF(AND('Mapa final'!$J$69="Baja",'Mapa final'!$N$69="Menor"),CONCATENATE("R",'Mapa final'!$A$69),"")</f>
        <v/>
      </c>
      <c r="S36" s="352"/>
      <c r="T36" s="352" t="str">
        <f>IF(AND('Mapa final'!$J$75="Baja",'Mapa final'!$N$75="Menor"),CONCATENATE("R",'Mapa final'!$A$75),"")</f>
        <v/>
      </c>
      <c r="U36" s="353"/>
      <c r="V36" s="351" t="str">
        <f ca="1">IF(AND('Mapa final'!$J$63="Baja",'Mapa final'!$N$63="Moderado"),CONCATENATE("R",'Mapa final'!$A$63),"")</f>
        <v/>
      </c>
      <c r="W36" s="352"/>
      <c r="X36" s="352" t="str">
        <f>IF(AND('Mapa final'!$J$69="Baja",'Mapa final'!$N$69="Moderado"),CONCATENATE("R",'Mapa final'!$A$69),"")</f>
        <v/>
      </c>
      <c r="Y36" s="352"/>
      <c r="Z36" s="352" t="str">
        <f>IF(AND('Mapa final'!$J$75="Baja",'Mapa final'!$N$75="Moderado"),CONCATENATE("R",'Mapa final'!$A$75),"")</f>
        <v/>
      </c>
      <c r="AA36" s="353"/>
      <c r="AB36" s="334" t="str">
        <f ca="1">IF(AND('Mapa final'!$J$63="Baja",'Mapa final'!$N$63="Mayor"),CONCATENATE("R",'Mapa final'!$A$63),"")</f>
        <v/>
      </c>
      <c r="AC36" s="331"/>
      <c r="AD36" s="329" t="str">
        <f>IF(AND('Mapa final'!$J$69="Baja",'Mapa final'!$N$69="Mayor"),CONCATENATE("R",'Mapa final'!$A$69),"")</f>
        <v/>
      </c>
      <c r="AE36" s="329"/>
      <c r="AF36" s="329" t="str">
        <f>IF(AND('Mapa final'!$J$75="Baja",'Mapa final'!$N$75="Mayor"),CONCATENATE("R",'Mapa final'!$A$75),"")</f>
        <v/>
      </c>
      <c r="AG36" s="330"/>
      <c r="AH36" s="342" t="str">
        <f ca="1">IF(AND('Mapa final'!$J$63="Baja",'Mapa final'!$N$63="Catastrófico"),CONCATENATE("R",'Mapa final'!$A$63),"")</f>
        <v/>
      </c>
      <c r="AI36" s="343"/>
      <c r="AJ36" s="343" t="str">
        <f>IF(AND('Mapa final'!$J$69="Baja",'Mapa final'!$N$69="Catastrófico"),CONCATENATE("R",'Mapa final'!$A$69),"")</f>
        <v/>
      </c>
      <c r="AK36" s="343"/>
      <c r="AL36" s="343" t="str">
        <f>IF(AND('Mapa final'!$J$75="Baja",'Mapa final'!$N$75="Catastrófico"),CONCATENATE("R",'Mapa final'!$A$75),"")</f>
        <v/>
      </c>
      <c r="AM36" s="344"/>
      <c r="AN36" s="84"/>
      <c r="AO36" s="314"/>
      <c r="AP36" s="315"/>
      <c r="AQ36" s="315"/>
      <c r="AR36" s="315"/>
      <c r="AS36" s="315"/>
      <c r="AT36" s="316"/>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2"/>
      <c r="C37" s="282"/>
      <c r="D37" s="283"/>
      <c r="E37" s="326"/>
      <c r="F37" s="327"/>
      <c r="G37" s="327"/>
      <c r="H37" s="327"/>
      <c r="I37" s="327"/>
      <c r="J37" s="363"/>
      <c r="K37" s="364"/>
      <c r="L37" s="364"/>
      <c r="M37" s="364"/>
      <c r="N37" s="364"/>
      <c r="O37" s="365"/>
      <c r="P37" s="355"/>
      <c r="Q37" s="355"/>
      <c r="R37" s="355"/>
      <c r="S37" s="355"/>
      <c r="T37" s="355"/>
      <c r="U37" s="356"/>
      <c r="V37" s="354"/>
      <c r="W37" s="355"/>
      <c r="X37" s="355"/>
      <c r="Y37" s="355"/>
      <c r="Z37" s="355"/>
      <c r="AA37" s="356"/>
      <c r="AB37" s="339"/>
      <c r="AC37" s="340"/>
      <c r="AD37" s="340"/>
      <c r="AE37" s="340"/>
      <c r="AF37" s="340"/>
      <c r="AG37" s="341"/>
      <c r="AH37" s="345"/>
      <c r="AI37" s="346"/>
      <c r="AJ37" s="346"/>
      <c r="AK37" s="346"/>
      <c r="AL37" s="346"/>
      <c r="AM37" s="347"/>
      <c r="AN37" s="84"/>
      <c r="AO37" s="317"/>
      <c r="AP37" s="318"/>
      <c r="AQ37" s="318"/>
      <c r="AR37" s="318"/>
      <c r="AS37" s="318"/>
      <c r="AT37" s="319"/>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2"/>
      <c r="C38" s="282"/>
      <c r="D38" s="283"/>
      <c r="E38" s="320" t="s">
        <v>105</v>
      </c>
      <c r="F38" s="321"/>
      <c r="G38" s="321"/>
      <c r="H38" s="321"/>
      <c r="I38" s="322"/>
      <c r="J38" s="366" t="str">
        <f ca="1">IF(AND('Mapa final'!$J$11="Muy Baja",'Mapa final'!$N$11="Leve"),CONCATENATE("R",'Mapa final'!$A$11),"")</f>
        <v/>
      </c>
      <c r="K38" s="367"/>
      <c r="L38" s="367" t="str">
        <f ca="1">IF(AND('Mapa final'!$J$15="Muy Baja",'Mapa final'!$N$15="Leve"),CONCATENATE("R",'Mapa final'!$A$15),"")</f>
        <v/>
      </c>
      <c r="M38" s="367"/>
      <c r="N38" s="367" t="str">
        <f ca="1">IF(AND('Mapa final'!$J$21="Muy Baja",'Mapa final'!$N$21="Leve"),CONCATENATE("R",'Mapa final'!$A$21),"")</f>
        <v/>
      </c>
      <c r="O38" s="368"/>
      <c r="P38" s="366" t="str">
        <f ca="1">IF(AND('Mapa final'!$J$11="Muy Baja",'Mapa final'!$N$11="Menor"),CONCATENATE("R",'Mapa final'!$A$11),"")</f>
        <v/>
      </c>
      <c r="Q38" s="367"/>
      <c r="R38" s="367" t="str">
        <f ca="1">IF(AND('Mapa final'!$J$15="Muy Baja",'Mapa final'!$N$15="Menor"),CONCATENATE("R",'Mapa final'!$A$15),"")</f>
        <v/>
      </c>
      <c r="S38" s="367"/>
      <c r="T38" s="367" t="str">
        <f ca="1">IF(AND('Mapa final'!$J$21="Muy Baja",'Mapa final'!$N$21="Menor"),CONCATENATE("R",'Mapa final'!$A$21),"")</f>
        <v/>
      </c>
      <c r="U38" s="368"/>
      <c r="V38" s="357" t="str">
        <f ca="1">IF(AND('Mapa final'!$J$11="Muy Baja",'Mapa final'!$N$11="Moderado"),CONCATENATE("R",'Mapa final'!$A$11),"")</f>
        <v/>
      </c>
      <c r="W38" s="358"/>
      <c r="X38" s="358" t="str">
        <f ca="1">IF(AND('Mapa final'!$J$15="Muy Baja",'Mapa final'!$N$15="Moderado"),CONCATENATE("R",'Mapa final'!$A$15),"")</f>
        <v/>
      </c>
      <c r="Y38" s="358"/>
      <c r="Z38" s="358" t="str">
        <f ca="1">IF(AND('Mapa final'!$J$21="Muy Baja",'Mapa final'!$N$21="Moderado"),CONCATENATE("R",'Mapa final'!$A$21),"")</f>
        <v/>
      </c>
      <c r="AA38" s="359"/>
      <c r="AB38" s="332" t="str">
        <f ca="1">IF(AND('Mapa final'!$J$11="Muy Baja",'Mapa final'!$N$11="Mayor"),CONCATENATE("R",'Mapa final'!$A$11),"")</f>
        <v/>
      </c>
      <c r="AC38" s="333"/>
      <c r="AD38" s="333" t="str">
        <f ca="1">IF(AND('Mapa final'!$J$15="Muy Baja",'Mapa final'!$N$15="Mayor"),CONCATENATE("R",'Mapa final'!$A$15),"")</f>
        <v/>
      </c>
      <c r="AE38" s="333"/>
      <c r="AF38" s="333" t="str">
        <f ca="1">IF(AND('Mapa final'!$J$21="Muy Baja",'Mapa final'!$N$21="Mayor"),CONCATENATE("R",'Mapa final'!$A$21),"")</f>
        <v/>
      </c>
      <c r="AG38" s="335"/>
      <c r="AH38" s="348" t="str">
        <f ca="1">IF(AND('Mapa final'!$J$11="Muy Baja",'Mapa final'!$N$11="Catastrófico"),CONCATENATE("R",'Mapa final'!$A$11),"")</f>
        <v/>
      </c>
      <c r="AI38" s="349"/>
      <c r="AJ38" s="349" t="str">
        <f ca="1">IF(AND('Mapa final'!$J$15="Muy Baja",'Mapa final'!$N$15="Catastrófico"),CONCATENATE("R",'Mapa final'!$A$15),"")</f>
        <v/>
      </c>
      <c r="AK38" s="349"/>
      <c r="AL38" s="349" t="str">
        <f ca="1">IF(AND('Mapa final'!$J$21="Muy Baja",'Mapa final'!$N$21="Catastrófico"),CONCATENATE("R",'Mapa final'!$A$21),"")</f>
        <v/>
      </c>
      <c r="AM38" s="350"/>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2"/>
      <c r="C39" s="282"/>
      <c r="D39" s="283"/>
      <c r="E39" s="323"/>
      <c r="F39" s="324"/>
      <c r="G39" s="324"/>
      <c r="H39" s="324"/>
      <c r="I39" s="325"/>
      <c r="J39" s="362"/>
      <c r="K39" s="360"/>
      <c r="L39" s="360"/>
      <c r="M39" s="360"/>
      <c r="N39" s="360"/>
      <c r="O39" s="361"/>
      <c r="P39" s="362"/>
      <c r="Q39" s="360"/>
      <c r="R39" s="360"/>
      <c r="S39" s="360"/>
      <c r="T39" s="360"/>
      <c r="U39" s="361"/>
      <c r="V39" s="351"/>
      <c r="W39" s="352"/>
      <c r="X39" s="352"/>
      <c r="Y39" s="352"/>
      <c r="Z39" s="352"/>
      <c r="AA39" s="353"/>
      <c r="AB39" s="334"/>
      <c r="AC39" s="331"/>
      <c r="AD39" s="331"/>
      <c r="AE39" s="331"/>
      <c r="AF39" s="331"/>
      <c r="AG39" s="330"/>
      <c r="AH39" s="342"/>
      <c r="AI39" s="343"/>
      <c r="AJ39" s="343"/>
      <c r="AK39" s="343"/>
      <c r="AL39" s="343"/>
      <c r="AM39" s="34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2"/>
      <c r="C40" s="282"/>
      <c r="D40" s="283"/>
      <c r="E40" s="323"/>
      <c r="F40" s="324"/>
      <c r="G40" s="324"/>
      <c r="H40" s="324"/>
      <c r="I40" s="325"/>
      <c r="J40" s="362" t="str">
        <f ca="1">IF(AND('Mapa final'!$J$27="Muy Baja",'Mapa final'!$N$27="Leve"),CONCATENATE("R",'Mapa final'!$A$27),"")</f>
        <v/>
      </c>
      <c r="K40" s="360"/>
      <c r="L40" s="360" t="str">
        <f ca="1">IF(AND('Mapa final'!$J$33="Muy Baja",'Mapa final'!$N$33="Leve"),CONCATENATE("R",'Mapa final'!$A$33),"")</f>
        <v/>
      </c>
      <c r="M40" s="360"/>
      <c r="N40" s="360" t="str">
        <f ca="1">IF(AND('Mapa final'!$J$39="Muy Baja",'Mapa final'!$N$39="Leve"),CONCATENATE("R",'Mapa final'!$A$39),"")</f>
        <v/>
      </c>
      <c r="O40" s="361"/>
      <c r="P40" s="362" t="str">
        <f ca="1">IF(AND('Mapa final'!$J$27="Muy Baja",'Mapa final'!$N$27="Menor"),CONCATENATE("R",'Mapa final'!$A$27),"")</f>
        <v/>
      </c>
      <c r="Q40" s="360"/>
      <c r="R40" s="360" t="str">
        <f ca="1">IF(AND('Mapa final'!$J$33="Muy Baja",'Mapa final'!$N$33="Menor"),CONCATENATE("R",'Mapa final'!$A$33),"")</f>
        <v/>
      </c>
      <c r="S40" s="360"/>
      <c r="T40" s="360" t="str">
        <f ca="1">IF(AND('Mapa final'!$J$39="Muy Baja",'Mapa final'!$N$39="Menor"),CONCATENATE("R",'Mapa final'!$A$39),"")</f>
        <v/>
      </c>
      <c r="U40" s="361"/>
      <c r="V40" s="351" t="str">
        <f ca="1">IF(AND('Mapa final'!$J$27="Muy Baja",'Mapa final'!$N$27="Moderado"),CONCATENATE("R",'Mapa final'!$A$27),"")</f>
        <v/>
      </c>
      <c r="W40" s="352"/>
      <c r="X40" s="352" t="str">
        <f ca="1">IF(AND('Mapa final'!$J$33="Muy Baja",'Mapa final'!$N$33="Moderado"),CONCATENATE("R",'Mapa final'!$A$33),"")</f>
        <v/>
      </c>
      <c r="Y40" s="352"/>
      <c r="Z40" s="352" t="str">
        <f ca="1">IF(AND('Mapa final'!$J$39="Muy Baja",'Mapa final'!$N$39="Moderado"),CONCATENATE("R",'Mapa final'!$A$39),"")</f>
        <v/>
      </c>
      <c r="AA40" s="353"/>
      <c r="AB40" s="334" t="str">
        <f ca="1">IF(AND('Mapa final'!$J$27="Muy Baja",'Mapa final'!$N$27="Mayor"),CONCATENATE("R",'Mapa final'!$A$27),"")</f>
        <v/>
      </c>
      <c r="AC40" s="331"/>
      <c r="AD40" s="329" t="str">
        <f ca="1">IF(AND('Mapa final'!$J$33="Muy Baja",'Mapa final'!$N$33="Mayor"),CONCATENATE("R",'Mapa final'!$A$33),"")</f>
        <v/>
      </c>
      <c r="AE40" s="329"/>
      <c r="AF40" s="329" t="str">
        <f ca="1">IF(AND('Mapa final'!$J$39="Muy Baja",'Mapa final'!$N$39="Mayor"),CONCATENATE("R",'Mapa final'!$A$39),"")</f>
        <v/>
      </c>
      <c r="AG40" s="330"/>
      <c r="AH40" s="342" t="str">
        <f ca="1">IF(AND('Mapa final'!$J$27="Muy Baja",'Mapa final'!$N$27="Catastrófico"),CONCATENATE("R",'Mapa final'!$A$27),"")</f>
        <v/>
      </c>
      <c r="AI40" s="343"/>
      <c r="AJ40" s="343" t="str">
        <f ca="1">IF(AND('Mapa final'!$J$33="Muy Baja",'Mapa final'!$N$33="Catastrófico"),CONCATENATE("R",'Mapa final'!$A$33),"")</f>
        <v/>
      </c>
      <c r="AK40" s="343"/>
      <c r="AL40" s="343" t="str">
        <f ca="1">IF(AND('Mapa final'!$J$39="Muy Baja",'Mapa final'!$N$39="Catastrófico"),CONCATENATE("R",'Mapa final'!$A$39),"")</f>
        <v/>
      </c>
      <c r="AM40" s="34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2"/>
      <c r="C41" s="282"/>
      <c r="D41" s="283"/>
      <c r="E41" s="323"/>
      <c r="F41" s="324"/>
      <c r="G41" s="324"/>
      <c r="H41" s="324"/>
      <c r="I41" s="325"/>
      <c r="J41" s="362"/>
      <c r="K41" s="360"/>
      <c r="L41" s="360"/>
      <c r="M41" s="360"/>
      <c r="N41" s="360"/>
      <c r="O41" s="361"/>
      <c r="P41" s="362"/>
      <c r="Q41" s="360"/>
      <c r="R41" s="360"/>
      <c r="S41" s="360"/>
      <c r="T41" s="360"/>
      <c r="U41" s="361"/>
      <c r="V41" s="351"/>
      <c r="W41" s="352"/>
      <c r="X41" s="352"/>
      <c r="Y41" s="352"/>
      <c r="Z41" s="352"/>
      <c r="AA41" s="353"/>
      <c r="AB41" s="334"/>
      <c r="AC41" s="331"/>
      <c r="AD41" s="329"/>
      <c r="AE41" s="329"/>
      <c r="AF41" s="329"/>
      <c r="AG41" s="330"/>
      <c r="AH41" s="342"/>
      <c r="AI41" s="343"/>
      <c r="AJ41" s="343"/>
      <c r="AK41" s="343"/>
      <c r="AL41" s="343"/>
      <c r="AM41" s="34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2"/>
      <c r="C42" s="282"/>
      <c r="D42" s="283"/>
      <c r="E42" s="323"/>
      <c r="F42" s="324"/>
      <c r="G42" s="324"/>
      <c r="H42" s="324"/>
      <c r="I42" s="325"/>
      <c r="J42" s="362" t="str">
        <f ca="1">IF(AND('Mapa final'!$J$45="Muy Baja",'Mapa final'!$N$45="Leve"),CONCATENATE("R",'Mapa final'!$A$45),"")</f>
        <v/>
      </c>
      <c r="K42" s="360"/>
      <c r="L42" s="360" t="str">
        <f ca="1">IF(AND('Mapa final'!$J$51="Muy Baja",'Mapa final'!$N$51="Leve"),CONCATENATE("R",'Mapa final'!$A$51),"")</f>
        <v/>
      </c>
      <c r="M42" s="360"/>
      <c r="N42" s="360" t="str">
        <f ca="1">IF(AND('Mapa final'!$J$57="Muy Baja",'Mapa final'!$N$57="Leve"),CONCATENATE("R",'Mapa final'!$A$57),"")</f>
        <v/>
      </c>
      <c r="O42" s="361"/>
      <c r="P42" s="362" t="str">
        <f ca="1">IF(AND('Mapa final'!$J$45="Muy Baja",'Mapa final'!$N$45="Menor"),CONCATENATE("R",'Mapa final'!$A$45),"")</f>
        <v/>
      </c>
      <c r="Q42" s="360"/>
      <c r="R42" s="360" t="str">
        <f ca="1">IF(AND('Mapa final'!$J$51="Muy Baja",'Mapa final'!$N$51="Menor"),CONCATENATE("R",'Mapa final'!$A$51),"")</f>
        <v/>
      </c>
      <c r="S42" s="360"/>
      <c r="T42" s="360" t="str">
        <f ca="1">IF(AND('Mapa final'!$J$57="Muy Baja",'Mapa final'!$N$57="Menor"),CONCATENATE("R",'Mapa final'!$A$57),"")</f>
        <v/>
      </c>
      <c r="U42" s="361"/>
      <c r="V42" s="351" t="str">
        <f ca="1">IF(AND('Mapa final'!$J$45="Muy Baja",'Mapa final'!$N$45="Moderado"),CONCATENATE("R",'Mapa final'!$A$45),"")</f>
        <v/>
      </c>
      <c r="W42" s="352"/>
      <c r="X42" s="352" t="str">
        <f ca="1">IF(AND('Mapa final'!$J$51="Muy Baja",'Mapa final'!$N$51="Moderado"),CONCATENATE("R",'Mapa final'!$A$51),"")</f>
        <v/>
      </c>
      <c r="Y42" s="352"/>
      <c r="Z42" s="352" t="str">
        <f ca="1">IF(AND('Mapa final'!$J$57="Muy Baja",'Mapa final'!$N$57="Moderado"),CONCATENATE("R",'Mapa final'!$A$57),"")</f>
        <v/>
      </c>
      <c r="AA42" s="353"/>
      <c r="AB42" s="334" t="str">
        <f ca="1">IF(AND('Mapa final'!$J$45="Muy Baja",'Mapa final'!$N$45="Mayor"),CONCATENATE("R",'Mapa final'!$A$45),"")</f>
        <v/>
      </c>
      <c r="AC42" s="331"/>
      <c r="AD42" s="329" t="str">
        <f ca="1">IF(AND('Mapa final'!$J$51="Muy Baja",'Mapa final'!$N$51="Mayor"),CONCATENATE("R",'Mapa final'!$A$51),"")</f>
        <v/>
      </c>
      <c r="AE42" s="329"/>
      <c r="AF42" s="329" t="str">
        <f ca="1">IF(AND('Mapa final'!$J$57="Muy Baja",'Mapa final'!$N$57="Mayor"),CONCATENATE("R",'Mapa final'!$A$57),"")</f>
        <v/>
      </c>
      <c r="AG42" s="330"/>
      <c r="AH42" s="342" t="str">
        <f ca="1">IF(AND('Mapa final'!$J$45="Muy Baja",'Mapa final'!$N$45="Catastrófico"),CONCATENATE("R",'Mapa final'!$A$45),"")</f>
        <v/>
      </c>
      <c r="AI42" s="343"/>
      <c r="AJ42" s="343" t="str">
        <f ca="1">IF(AND('Mapa final'!$J$51="Muy Baja",'Mapa final'!$N$51="Catastrófico"),CONCATENATE("R",'Mapa final'!$A$51),"")</f>
        <v/>
      </c>
      <c r="AK42" s="343"/>
      <c r="AL42" s="343" t="str">
        <f ca="1">IF(AND('Mapa final'!$J$57="Muy Baja",'Mapa final'!$N$57="Catastrófico"),CONCATENATE("R",'Mapa final'!$A$57),"")</f>
        <v/>
      </c>
      <c r="AM42" s="34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2"/>
      <c r="C43" s="282"/>
      <c r="D43" s="283"/>
      <c r="E43" s="323"/>
      <c r="F43" s="324"/>
      <c r="G43" s="324"/>
      <c r="H43" s="324"/>
      <c r="I43" s="325"/>
      <c r="J43" s="362"/>
      <c r="K43" s="360"/>
      <c r="L43" s="360"/>
      <c r="M43" s="360"/>
      <c r="N43" s="360"/>
      <c r="O43" s="361"/>
      <c r="P43" s="362"/>
      <c r="Q43" s="360"/>
      <c r="R43" s="360"/>
      <c r="S43" s="360"/>
      <c r="T43" s="360"/>
      <c r="U43" s="361"/>
      <c r="V43" s="351"/>
      <c r="W43" s="352"/>
      <c r="X43" s="352"/>
      <c r="Y43" s="352"/>
      <c r="Z43" s="352"/>
      <c r="AA43" s="353"/>
      <c r="AB43" s="334"/>
      <c r="AC43" s="331"/>
      <c r="AD43" s="329"/>
      <c r="AE43" s="329"/>
      <c r="AF43" s="329"/>
      <c r="AG43" s="330"/>
      <c r="AH43" s="342"/>
      <c r="AI43" s="343"/>
      <c r="AJ43" s="343"/>
      <c r="AK43" s="343"/>
      <c r="AL43" s="343"/>
      <c r="AM43" s="34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2"/>
      <c r="C44" s="282"/>
      <c r="D44" s="283"/>
      <c r="E44" s="323"/>
      <c r="F44" s="324"/>
      <c r="G44" s="324"/>
      <c r="H44" s="324"/>
      <c r="I44" s="325"/>
      <c r="J44" s="362" t="str">
        <f ca="1">IF(AND('Mapa final'!$J$63="Muy Baja",'Mapa final'!$N$63="Leve"),CONCATENATE("R",'Mapa final'!$A$63),"")</f>
        <v/>
      </c>
      <c r="K44" s="360"/>
      <c r="L44" s="360" t="str">
        <f>IF(AND('Mapa final'!$J$69="Muy Baja",'Mapa final'!$N$69="Leve"),CONCATENATE("R",'Mapa final'!$A$69),"")</f>
        <v/>
      </c>
      <c r="M44" s="360"/>
      <c r="N44" s="360" t="str">
        <f>IF(AND('Mapa final'!$J$75="Muy Baja",'Mapa final'!$N$75="Leve"),CONCATENATE("R",'Mapa final'!$A$75),"")</f>
        <v/>
      </c>
      <c r="O44" s="361"/>
      <c r="P44" s="362" t="str">
        <f ca="1">IF(AND('Mapa final'!$J$63="Muy Baja",'Mapa final'!$N$63="Menor"),CONCATENATE("R",'Mapa final'!$A$63),"")</f>
        <v/>
      </c>
      <c r="Q44" s="360"/>
      <c r="R44" s="360" t="str">
        <f>IF(AND('Mapa final'!$J$69="Muy Baja",'Mapa final'!$N$69="Menor"),CONCATENATE("R",'Mapa final'!$A$69),"")</f>
        <v/>
      </c>
      <c r="S44" s="360"/>
      <c r="T44" s="360" t="str">
        <f>IF(AND('Mapa final'!$J$75="Muy Baja",'Mapa final'!$N$75="Menor"),CONCATENATE("R",'Mapa final'!$A$75),"")</f>
        <v/>
      </c>
      <c r="U44" s="361"/>
      <c r="V44" s="351" t="str">
        <f ca="1">IF(AND('Mapa final'!$J$63="Muy Baja",'Mapa final'!$N$63="Moderado"),CONCATENATE("R",'Mapa final'!$A$63),"")</f>
        <v/>
      </c>
      <c r="W44" s="352"/>
      <c r="X44" s="352" t="str">
        <f>IF(AND('Mapa final'!$J$69="Muy Baja",'Mapa final'!$N$69="Moderado"),CONCATENATE("R",'Mapa final'!$A$69),"")</f>
        <v/>
      </c>
      <c r="Y44" s="352"/>
      <c r="Z44" s="352" t="str">
        <f>IF(AND('Mapa final'!$J$75="Muy Baja",'Mapa final'!$N$75="Moderado"),CONCATENATE("R",'Mapa final'!$A$75),"")</f>
        <v/>
      </c>
      <c r="AA44" s="353"/>
      <c r="AB44" s="334" t="str">
        <f ca="1">IF(AND('Mapa final'!$J$63="Muy Baja",'Mapa final'!$N$63="Mayor"),CONCATENATE("R",'Mapa final'!$A$63),"")</f>
        <v/>
      </c>
      <c r="AC44" s="331"/>
      <c r="AD44" s="329" t="str">
        <f>IF(AND('Mapa final'!$J$69="Muy Baja",'Mapa final'!$N$69="Mayor"),CONCATENATE("R",'Mapa final'!$A$69),"")</f>
        <v/>
      </c>
      <c r="AE44" s="329"/>
      <c r="AF44" s="329" t="str">
        <f>IF(AND('Mapa final'!$J$75="Muy Baja",'Mapa final'!$N$75="Mayor"),CONCATENATE("R",'Mapa final'!$A$75),"")</f>
        <v/>
      </c>
      <c r="AG44" s="330"/>
      <c r="AH44" s="342" t="str">
        <f ca="1">IF(AND('Mapa final'!$J$63="Muy Baja",'Mapa final'!$N$63="Catastrófico"),CONCATENATE("R",'Mapa final'!$A$63),"")</f>
        <v/>
      </c>
      <c r="AI44" s="343"/>
      <c r="AJ44" s="343" t="str">
        <f>IF(AND('Mapa final'!$J$69="Muy Baja",'Mapa final'!$N$69="Catastrófico"),CONCATENATE("R",'Mapa final'!$A$69),"")</f>
        <v/>
      </c>
      <c r="AK44" s="343"/>
      <c r="AL44" s="343" t="str">
        <f>IF(AND('Mapa final'!$J$75="Muy Baja",'Mapa final'!$N$75="Catastrófico"),CONCATENATE("R",'Mapa final'!$A$75),"")</f>
        <v/>
      </c>
      <c r="AM44" s="34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2"/>
      <c r="C45" s="282"/>
      <c r="D45" s="283"/>
      <c r="E45" s="326"/>
      <c r="F45" s="327"/>
      <c r="G45" s="327"/>
      <c r="H45" s="327"/>
      <c r="I45" s="328"/>
      <c r="J45" s="363"/>
      <c r="K45" s="364"/>
      <c r="L45" s="364"/>
      <c r="M45" s="364"/>
      <c r="N45" s="364"/>
      <c r="O45" s="365"/>
      <c r="P45" s="363"/>
      <c r="Q45" s="364"/>
      <c r="R45" s="364"/>
      <c r="S45" s="364"/>
      <c r="T45" s="364"/>
      <c r="U45" s="365"/>
      <c r="V45" s="354"/>
      <c r="W45" s="355"/>
      <c r="X45" s="355"/>
      <c r="Y45" s="355"/>
      <c r="Z45" s="355"/>
      <c r="AA45" s="356"/>
      <c r="AB45" s="339"/>
      <c r="AC45" s="340"/>
      <c r="AD45" s="340"/>
      <c r="AE45" s="340"/>
      <c r="AF45" s="340"/>
      <c r="AG45" s="341"/>
      <c r="AH45" s="345"/>
      <c r="AI45" s="346"/>
      <c r="AJ45" s="346"/>
      <c r="AK45" s="346"/>
      <c r="AL45" s="346"/>
      <c r="AM45" s="347"/>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320" t="s">
        <v>104</v>
      </c>
      <c r="K46" s="321"/>
      <c r="L46" s="321"/>
      <c r="M46" s="321"/>
      <c r="N46" s="321"/>
      <c r="O46" s="322"/>
      <c r="P46" s="320" t="s">
        <v>103</v>
      </c>
      <c r="Q46" s="321"/>
      <c r="R46" s="321"/>
      <c r="S46" s="321"/>
      <c r="T46" s="321"/>
      <c r="U46" s="322"/>
      <c r="V46" s="320" t="s">
        <v>102</v>
      </c>
      <c r="W46" s="321"/>
      <c r="X46" s="321"/>
      <c r="Y46" s="321"/>
      <c r="Z46" s="321"/>
      <c r="AA46" s="322"/>
      <c r="AB46" s="320" t="s">
        <v>101</v>
      </c>
      <c r="AC46" s="338"/>
      <c r="AD46" s="321"/>
      <c r="AE46" s="321"/>
      <c r="AF46" s="321"/>
      <c r="AG46" s="322"/>
      <c r="AH46" s="320" t="s">
        <v>100</v>
      </c>
      <c r="AI46" s="321"/>
      <c r="AJ46" s="321"/>
      <c r="AK46" s="321"/>
      <c r="AL46" s="321"/>
      <c r="AM46" s="322"/>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323"/>
      <c r="K47" s="324"/>
      <c r="L47" s="324"/>
      <c r="M47" s="324"/>
      <c r="N47" s="324"/>
      <c r="O47" s="325"/>
      <c r="P47" s="323"/>
      <c r="Q47" s="324"/>
      <c r="R47" s="324"/>
      <c r="S47" s="324"/>
      <c r="T47" s="324"/>
      <c r="U47" s="325"/>
      <c r="V47" s="323"/>
      <c r="W47" s="324"/>
      <c r="X47" s="324"/>
      <c r="Y47" s="324"/>
      <c r="Z47" s="324"/>
      <c r="AA47" s="325"/>
      <c r="AB47" s="323"/>
      <c r="AC47" s="324"/>
      <c r="AD47" s="324"/>
      <c r="AE47" s="324"/>
      <c r="AF47" s="324"/>
      <c r="AG47" s="325"/>
      <c r="AH47" s="323"/>
      <c r="AI47" s="324"/>
      <c r="AJ47" s="324"/>
      <c r="AK47" s="324"/>
      <c r="AL47" s="324"/>
      <c r="AM47" s="325"/>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323"/>
      <c r="K48" s="324"/>
      <c r="L48" s="324"/>
      <c r="M48" s="324"/>
      <c r="N48" s="324"/>
      <c r="O48" s="325"/>
      <c r="P48" s="323"/>
      <c r="Q48" s="324"/>
      <c r="R48" s="324"/>
      <c r="S48" s="324"/>
      <c r="T48" s="324"/>
      <c r="U48" s="325"/>
      <c r="V48" s="323"/>
      <c r="W48" s="324"/>
      <c r="X48" s="324"/>
      <c r="Y48" s="324"/>
      <c r="Z48" s="324"/>
      <c r="AA48" s="325"/>
      <c r="AB48" s="323"/>
      <c r="AC48" s="324"/>
      <c r="AD48" s="324"/>
      <c r="AE48" s="324"/>
      <c r="AF48" s="324"/>
      <c r="AG48" s="325"/>
      <c r="AH48" s="323"/>
      <c r="AI48" s="324"/>
      <c r="AJ48" s="324"/>
      <c r="AK48" s="324"/>
      <c r="AL48" s="324"/>
      <c r="AM48" s="325"/>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323"/>
      <c r="K49" s="324"/>
      <c r="L49" s="324"/>
      <c r="M49" s="324"/>
      <c r="N49" s="324"/>
      <c r="O49" s="325"/>
      <c r="P49" s="323"/>
      <c r="Q49" s="324"/>
      <c r="R49" s="324"/>
      <c r="S49" s="324"/>
      <c r="T49" s="324"/>
      <c r="U49" s="325"/>
      <c r="V49" s="323"/>
      <c r="W49" s="324"/>
      <c r="X49" s="324"/>
      <c r="Y49" s="324"/>
      <c r="Z49" s="324"/>
      <c r="AA49" s="325"/>
      <c r="AB49" s="323"/>
      <c r="AC49" s="324"/>
      <c r="AD49" s="324"/>
      <c r="AE49" s="324"/>
      <c r="AF49" s="324"/>
      <c r="AG49" s="325"/>
      <c r="AH49" s="323"/>
      <c r="AI49" s="324"/>
      <c r="AJ49" s="324"/>
      <c r="AK49" s="324"/>
      <c r="AL49" s="324"/>
      <c r="AM49" s="325"/>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323"/>
      <c r="K50" s="324"/>
      <c r="L50" s="324"/>
      <c r="M50" s="324"/>
      <c r="N50" s="324"/>
      <c r="O50" s="325"/>
      <c r="P50" s="323"/>
      <c r="Q50" s="324"/>
      <c r="R50" s="324"/>
      <c r="S50" s="324"/>
      <c r="T50" s="324"/>
      <c r="U50" s="325"/>
      <c r="V50" s="323"/>
      <c r="W50" s="324"/>
      <c r="X50" s="324"/>
      <c r="Y50" s="324"/>
      <c r="Z50" s="324"/>
      <c r="AA50" s="325"/>
      <c r="AB50" s="323"/>
      <c r="AC50" s="324"/>
      <c r="AD50" s="324"/>
      <c r="AE50" s="324"/>
      <c r="AF50" s="324"/>
      <c r="AG50" s="325"/>
      <c r="AH50" s="323"/>
      <c r="AI50" s="324"/>
      <c r="AJ50" s="324"/>
      <c r="AK50" s="324"/>
      <c r="AL50" s="324"/>
      <c r="AM50" s="325"/>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326"/>
      <c r="K51" s="327"/>
      <c r="L51" s="327"/>
      <c r="M51" s="327"/>
      <c r="N51" s="327"/>
      <c r="O51" s="328"/>
      <c r="P51" s="326"/>
      <c r="Q51" s="327"/>
      <c r="R51" s="327"/>
      <c r="S51" s="327"/>
      <c r="T51" s="327"/>
      <c r="U51" s="328"/>
      <c r="V51" s="326"/>
      <c r="W51" s="327"/>
      <c r="X51" s="327"/>
      <c r="Y51" s="327"/>
      <c r="Z51" s="327"/>
      <c r="AA51" s="328"/>
      <c r="AB51" s="326"/>
      <c r="AC51" s="327"/>
      <c r="AD51" s="327"/>
      <c r="AE51" s="327"/>
      <c r="AF51" s="327"/>
      <c r="AG51" s="328"/>
      <c r="AH51" s="326"/>
      <c r="AI51" s="327"/>
      <c r="AJ51" s="327"/>
      <c r="AK51" s="327"/>
      <c r="AL51" s="327"/>
      <c r="AM51" s="328"/>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B2" sqref="B2:I4"/>
    </sheetView>
  </sheetViews>
  <sheetFormatPr baseColWidth="10"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96" t="s">
        <v>143</v>
      </c>
      <c r="C2" s="397"/>
      <c r="D2" s="397"/>
      <c r="E2" s="397"/>
      <c r="F2" s="397"/>
      <c r="G2" s="397"/>
      <c r="H2" s="397"/>
      <c r="I2" s="397"/>
      <c r="J2" s="336" t="s">
        <v>2</v>
      </c>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97"/>
      <c r="C3" s="397"/>
      <c r="D3" s="397"/>
      <c r="E3" s="397"/>
      <c r="F3" s="397"/>
      <c r="G3" s="397"/>
      <c r="H3" s="397"/>
      <c r="I3" s="397"/>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97"/>
      <c r="C4" s="397"/>
      <c r="D4" s="397"/>
      <c r="E4" s="397"/>
      <c r="F4" s="397"/>
      <c r="G4" s="397"/>
      <c r="H4" s="397"/>
      <c r="I4" s="397"/>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2" t="s">
        <v>3</v>
      </c>
      <c r="C6" s="282"/>
      <c r="D6" s="283"/>
      <c r="E6" s="379" t="s">
        <v>108</v>
      </c>
      <c r="F6" s="380"/>
      <c r="G6" s="380"/>
      <c r="H6" s="380"/>
      <c r="I6" s="398"/>
      <c r="J6" s="46" t="str">
        <f ca="1">IF(AND('Mapa final'!$AA$11="Muy Alta",'Mapa final'!$AC$11="Leve"),CONCATENATE("R1C",'Mapa final'!$Q$11),"")</f>
        <v/>
      </c>
      <c r="K6" s="47" t="str">
        <f ca="1">IF(AND('Mapa final'!$AA$12="Muy Alta",'Mapa final'!$AC$12="Leve"),CONCATENATE("R1C",'Mapa final'!$Q$12),"")</f>
        <v/>
      </c>
      <c r="L6" s="47" t="e">
        <f>IF(AND('Mapa final'!#REF!="Muy Alta",'Mapa final'!#REF!="Leve"),CONCATENATE("R1C",'Mapa final'!#REF!),"")</f>
        <v>#REF!</v>
      </c>
      <c r="M6" s="47" t="e">
        <f>IF(AND('Mapa final'!#REF!="Muy Alta",'Mapa final'!#REF!="Leve"),CONCATENATE("R1C",'Mapa final'!#REF!),"")</f>
        <v>#REF!</v>
      </c>
      <c r="N6" s="47" t="str">
        <f>IF(AND('Mapa final'!$AA$13="Muy Alta",'Mapa final'!$AC$13="Leve"),CONCATENATE("R1C",'Mapa final'!$Q$13),"")</f>
        <v/>
      </c>
      <c r="O6" s="48" t="str">
        <f>IF(AND('Mapa final'!$AA$14="Muy Alta",'Mapa final'!$AC$14="Leve"),CONCATENATE("R1C",'Mapa final'!$Q$14),"")</f>
        <v/>
      </c>
      <c r="P6" s="46" t="str">
        <f ca="1">IF(AND('Mapa final'!$AA$11="Muy Alta",'Mapa final'!$AC$11="Menor"),CONCATENATE("R1C",'Mapa final'!$Q$11),"")</f>
        <v/>
      </c>
      <c r="Q6" s="47" t="str">
        <f ca="1">IF(AND('Mapa final'!$AA$12="Muy Alta",'Mapa final'!$AC$12="Menor"),CONCATENATE("R1C",'Mapa final'!$Q$12),"")</f>
        <v/>
      </c>
      <c r="R6" s="47" t="e">
        <f>IF(AND('Mapa final'!#REF!="Muy Alta",'Mapa final'!#REF!="Menor"),CONCATENATE("R1C",'Mapa final'!#REF!),"")</f>
        <v>#REF!</v>
      </c>
      <c r="S6" s="47" t="e">
        <f>IF(AND('Mapa final'!#REF!="Muy Alta",'Mapa final'!#REF!="Menor"),CONCATENATE("R1C",'Mapa final'!#REF!),"")</f>
        <v>#REF!</v>
      </c>
      <c r="T6" s="47" t="str">
        <f>IF(AND('Mapa final'!$AA$13="Muy Alta",'Mapa final'!$AC$13="Menor"),CONCATENATE("R1C",'Mapa final'!$Q$13),"")</f>
        <v/>
      </c>
      <c r="U6" s="48" t="str">
        <f>IF(AND('Mapa final'!$AA$14="Muy Alta",'Mapa final'!$AC$14="Menor"),CONCATENATE("R1C",'Mapa final'!$Q$14),"")</f>
        <v/>
      </c>
      <c r="V6" s="46" t="str">
        <f ca="1">IF(AND('Mapa final'!$AA$11="Muy Alta",'Mapa final'!$AC$11="Moderado"),CONCATENATE("R1C",'Mapa final'!$Q$11),"")</f>
        <v/>
      </c>
      <c r="W6" s="47" t="str">
        <f ca="1">IF(AND('Mapa final'!$AA$12="Muy Alta",'Mapa final'!$AC$12="Moderado"),CONCATENATE("R1C",'Mapa final'!$Q$12),"")</f>
        <v/>
      </c>
      <c r="X6" s="47" t="e">
        <f>IF(AND('Mapa final'!#REF!="Muy Alta",'Mapa final'!#REF!="Moderado"),CONCATENATE("R1C",'Mapa final'!#REF!),"")</f>
        <v>#REF!</v>
      </c>
      <c r="Y6" s="47" t="e">
        <f>IF(AND('Mapa final'!#REF!="Muy Alta",'Mapa final'!#REF!="Moderado"),CONCATENATE("R1C",'Mapa final'!#REF!),"")</f>
        <v>#REF!</v>
      </c>
      <c r="Z6" s="47" t="str">
        <f>IF(AND('Mapa final'!$AA$13="Muy Alta",'Mapa final'!$AC$13="Moderado"),CONCATENATE("R1C",'Mapa final'!$Q$13),"")</f>
        <v/>
      </c>
      <c r="AA6" s="48" t="str">
        <f>IF(AND('Mapa final'!$AA$14="Muy Alta",'Mapa final'!$AC$14="Moderado"),CONCATENATE("R1C",'Mapa final'!$Q$14),"")</f>
        <v/>
      </c>
      <c r="AB6" s="46" t="str">
        <f ca="1">IF(AND('Mapa final'!$AA$11="Muy Alta",'Mapa final'!$AC$11="Mayor"),CONCATENATE("R1C",'Mapa final'!$Q$11),"")</f>
        <v/>
      </c>
      <c r="AC6" s="47" t="str">
        <f ca="1">IF(AND('Mapa final'!$AA$12="Muy Alta",'Mapa final'!$AC$12="Mayor"),CONCATENATE("R1C",'Mapa final'!$Q$12),"")</f>
        <v/>
      </c>
      <c r="AD6" s="47" t="e">
        <f>IF(AND('Mapa final'!#REF!="Muy Alta",'Mapa final'!#REF!="Mayor"),CONCATENATE("R1C",'Mapa final'!#REF!),"")</f>
        <v>#REF!</v>
      </c>
      <c r="AE6" s="47" t="e">
        <f>IF(AND('Mapa final'!#REF!="Muy Alta",'Mapa final'!#REF!="Mayor"),CONCATENATE("R1C",'Mapa final'!#REF!),"")</f>
        <v>#REF!</v>
      </c>
      <c r="AF6" s="47" t="str">
        <f>IF(AND('Mapa final'!$AA$13="Muy Alta",'Mapa final'!$AC$13="Mayor"),CONCATENATE("R1C",'Mapa final'!$Q$13),"")</f>
        <v/>
      </c>
      <c r="AG6" s="48" t="str">
        <f>IF(AND('Mapa final'!$AA$14="Muy Alta",'Mapa final'!$AC$14="Mayor"),CONCATENATE("R1C",'Mapa final'!$Q$14),"")</f>
        <v/>
      </c>
      <c r="AH6" s="49" t="str">
        <f ca="1">IF(AND('Mapa final'!$AA$11="Muy Alta",'Mapa final'!$AC$11="Catastrófico"),CONCATENATE("R1C",'Mapa final'!$Q$11),"")</f>
        <v/>
      </c>
      <c r="AI6" s="50" t="str">
        <f ca="1">IF(AND('Mapa final'!$AA$12="Muy Alta",'Mapa final'!$AC$12="Catastrófico"),CONCATENATE("R1C",'Mapa final'!$Q$12),"")</f>
        <v/>
      </c>
      <c r="AJ6" s="50" t="e">
        <f>IF(AND('Mapa final'!#REF!="Muy Alta",'Mapa final'!#REF!="Catastrófico"),CONCATENATE("R1C",'Mapa final'!#REF!),"")</f>
        <v>#REF!</v>
      </c>
      <c r="AK6" s="50" t="e">
        <f>IF(AND('Mapa final'!#REF!="Muy Alta",'Mapa final'!#REF!="Catastrófico"),CONCATENATE("R1C",'Mapa final'!#REF!),"")</f>
        <v>#REF!</v>
      </c>
      <c r="AL6" s="50" t="str">
        <f>IF(AND('Mapa final'!$AA$13="Muy Alta",'Mapa final'!$AC$13="Catastrófico"),CONCATENATE("R1C",'Mapa final'!$Q$13),"")</f>
        <v/>
      </c>
      <c r="AM6" s="51" t="str">
        <f>IF(AND('Mapa final'!$AA$14="Muy Alta",'Mapa final'!$AC$14="Catastrófico"),CONCATENATE("R1C",'Mapa final'!$Q$14),"")</f>
        <v/>
      </c>
      <c r="AN6" s="84"/>
      <c r="AO6" s="387" t="s">
        <v>76</v>
      </c>
      <c r="AP6" s="388"/>
      <c r="AQ6" s="388"/>
      <c r="AR6" s="388"/>
      <c r="AS6" s="388"/>
      <c r="AT6" s="38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2"/>
      <c r="C7" s="282"/>
      <c r="D7" s="283"/>
      <c r="E7" s="383"/>
      <c r="F7" s="384"/>
      <c r="G7" s="384"/>
      <c r="H7" s="384"/>
      <c r="I7" s="399"/>
      <c r="J7" s="52" t="str">
        <f>IF(AND('Mapa final'!$AA$15="Muy Alta",'Mapa final'!$AC$15="Leve"),CONCATENATE("R2C",'Mapa final'!$Q$15),"")</f>
        <v/>
      </c>
      <c r="K7" s="53" t="str">
        <f>IF(AND('Mapa final'!$AA$16="Muy Alta",'Mapa final'!$AC$16="Leve"),CONCATENATE("R2C",'Mapa final'!$Q$16),"")</f>
        <v/>
      </c>
      <c r="L7" s="53" t="str">
        <f>IF(AND('Mapa final'!$AA$17="Muy Alta",'Mapa final'!$AC$17="Leve"),CONCATENATE("R2C",'Mapa final'!$Q$17),"")</f>
        <v/>
      </c>
      <c r="M7" s="53" t="str">
        <f>IF(AND('Mapa final'!$AA$18="Muy Alta",'Mapa final'!$AC$18="Leve"),CONCATENATE("R2C",'Mapa final'!$Q$18),"")</f>
        <v/>
      </c>
      <c r="N7" s="53" t="str">
        <f>IF(AND('Mapa final'!$AA$19="Muy Alta",'Mapa final'!$AC$19="Leve"),CONCATENATE("R2C",'Mapa final'!$Q$19),"")</f>
        <v/>
      </c>
      <c r="O7" s="54" t="str">
        <f>IF(AND('Mapa final'!$AA$20="Muy Alta",'Mapa final'!$AC$20="Leve"),CONCATENATE("R2C",'Mapa final'!$Q$20),"")</f>
        <v/>
      </c>
      <c r="P7" s="52" t="str">
        <f>IF(AND('Mapa final'!$AA$15="Muy Alta",'Mapa final'!$AC$15="Menor"),CONCATENATE("R2C",'Mapa final'!$Q$15),"")</f>
        <v/>
      </c>
      <c r="Q7" s="53" t="str">
        <f>IF(AND('Mapa final'!$AA$16="Muy Alta",'Mapa final'!$AC$16="Menor"),CONCATENATE("R2C",'Mapa final'!$Q$16),"")</f>
        <v/>
      </c>
      <c r="R7" s="53" t="str">
        <f>IF(AND('Mapa final'!$AA$17="Muy Alta",'Mapa final'!$AC$17="Menor"),CONCATENATE("R2C",'Mapa final'!$Q$17),"")</f>
        <v/>
      </c>
      <c r="S7" s="53" t="str">
        <f>IF(AND('Mapa final'!$AA$18="Muy Alta",'Mapa final'!$AC$18="Menor"),CONCATENATE("R2C",'Mapa final'!$Q$18),"")</f>
        <v/>
      </c>
      <c r="T7" s="53" t="str">
        <f>IF(AND('Mapa final'!$AA$19="Muy Alta",'Mapa final'!$AC$19="Menor"),CONCATENATE("R2C",'Mapa final'!$Q$19),"")</f>
        <v/>
      </c>
      <c r="U7" s="54" t="str">
        <f>IF(AND('Mapa final'!$AA$20="Muy Alta",'Mapa final'!$AC$20="Menor"),CONCATENATE("R2C",'Mapa final'!$Q$20),"")</f>
        <v/>
      </c>
      <c r="V7" s="52" t="str">
        <f>IF(AND('Mapa final'!$AA$15="Muy Alta",'Mapa final'!$AC$15="Moderado"),CONCATENATE("R2C",'Mapa final'!$Q$15),"")</f>
        <v/>
      </c>
      <c r="W7" s="53" t="str">
        <f>IF(AND('Mapa final'!$AA$16="Muy Alta",'Mapa final'!$AC$16="Moderado"),CONCATENATE("R2C",'Mapa final'!$Q$16),"")</f>
        <v/>
      </c>
      <c r="X7" s="53" t="str">
        <f>IF(AND('Mapa final'!$AA$17="Muy Alta",'Mapa final'!$AC$17="Moderado"),CONCATENATE("R2C",'Mapa final'!$Q$17),"")</f>
        <v/>
      </c>
      <c r="Y7" s="53" t="str">
        <f>IF(AND('Mapa final'!$AA$18="Muy Alta",'Mapa final'!$AC$18="Moderado"),CONCATENATE("R2C",'Mapa final'!$Q$18),"")</f>
        <v/>
      </c>
      <c r="Z7" s="53" t="str">
        <f>IF(AND('Mapa final'!$AA$19="Muy Alta",'Mapa final'!$AC$19="Moderado"),CONCATENATE("R2C",'Mapa final'!$Q$19),"")</f>
        <v/>
      </c>
      <c r="AA7" s="54" t="str">
        <f>IF(AND('Mapa final'!$AA$20="Muy Alta",'Mapa final'!$AC$20="Moderado"),CONCATENATE("R2C",'Mapa final'!$Q$20),"")</f>
        <v/>
      </c>
      <c r="AB7" s="52" t="str">
        <f>IF(AND('Mapa final'!$AA$15="Muy Alta",'Mapa final'!$AC$15="Mayor"),CONCATENATE("R2C",'Mapa final'!$Q$15),"")</f>
        <v/>
      </c>
      <c r="AC7" s="53" t="str">
        <f>IF(AND('Mapa final'!$AA$16="Muy Alta",'Mapa final'!$AC$16="Mayor"),CONCATENATE("R2C",'Mapa final'!$Q$16),"")</f>
        <v/>
      </c>
      <c r="AD7" s="53" t="str">
        <f>IF(AND('Mapa final'!$AA$17="Muy Alta",'Mapa final'!$AC$17="Mayor"),CONCATENATE("R2C",'Mapa final'!$Q$17),"")</f>
        <v/>
      </c>
      <c r="AE7" s="53" t="str">
        <f>IF(AND('Mapa final'!$AA$18="Muy Alta",'Mapa final'!$AC$18="Mayor"),CONCATENATE("R2C",'Mapa final'!$Q$18),"")</f>
        <v/>
      </c>
      <c r="AF7" s="53" t="str">
        <f>IF(AND('Mapa final'!$AA$19="Muy Alta",'Mapa final'!$AC$19="Mayor"),CONCATENATE("R2C",'Mapa final'!$Q$19),"")</f>
        <v/>
      </c>
      <c r="AG7" s="54" t="str">
        <f>IF(AND('Mapa final'!$AA$20="Muy Alta",'Mapa final'!$AC$20="Mayor"),CONCATENATE("R2C",'Mapa final'!$Q$20),"")</f>
        <v/>
      </c>
      <c r="AH7" s="55" t="str">
        <f>IF(AND('Mapa final'!$AA$15="Muy Alta",'Mapa final'!$AC$15="Catastrófico"),CONCATENATE("R2C",'Mapa final'!$Q$15),"")</f>
        <v/>
      </c>
      <c r="AI7" s="56" t="str">
        <f>IF(AND('Mapa final'!$AA$16="Muy Alta",'Mapa final'!$AC$16="Catastrófico"),CONCATENATE("R2C",'Mapa final'!$Q$16),"")</f>
        <v/>
      </c>
      <c r="AJ7" s="56" t="str">
        <f>IF(AND('Mapa final'!$AA$17="Muy Alta",'Mapa final'!$AC$17="Catastrófico"),CONCATENATE("R2C",'Mapa final'!$Q$17),"")</f>
        <v/>
      </c>
      <c r="AK7" s="56" t="str">
        <f>IF(AND('Mapa final'!$AA$18="Muy Alta",'Mapa final'!$AC$18="Catastrófico"),CONCATENATE("R2C",'Mapa final'!$Q$18),"")</f>
        <v/>
      </c>
      <c r="AL7" s="56" t="str">
        <f>IF(AND('Mapa final'!$AA$19="Muy Alta",'Mapa final'!$AC$19="Catastrófico"),CONCATENATE("R2C",'Mapa final'!$Q$19),"")</f>
        <v/>
      </c>
      <c r="AM7" s="57" t="str">
        <f>IF(AND('Mapa final'!$AA$20="Muy Alta",'Mapa final'!$AC$20="Catastrófico"),CONCATENATE("R2C",'Mapa final'!$Q$20),"")</f>
        <v/>
      </c>
      <c r="AN7" s="84"/>
      <c r="AO7" s="390"/>
      <c r="AP7" s="391"/>
      <c r="AQ7" s="391"/>
      <c r="AR7" s="391"/>
      <c r="AS7" s="391"/>
      <c r="AT7" s="39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2"/>
      <c r="C8" s="282"/>
      <c r="D8" s="283"/>
      <c r="E8" s="383"/>
      <c r="F8" s="384"/>
      <c r="G8" s="384"/>
      <c r="H8" s="384"/>
      <c r="I8" s="399"/>
      <c r="J8" s="52" t="str">
        <f>IF(AND('Mapa final'!$AA$21="Muy Alta",'Mapa final'!$AC$21="Leve"),CONCATENATE("R3C",'Mapa final'!$Q$21),"")</f>
        <v/>
      </c>
      <c r="K8" s="53" t="str">
        <f>IF(AND('Mapa final'!$AA$22="Muy Alta",'Mapa final'!$AC$22="Leve"),CONCATENATE("R3C",'Mapa final'!$Q$22),"")</f>
        <v/>
      </c>
      <c r="L8" s="53" t="str">
        <f>IF(AND('Mapa final'!$AA$23="Muy Alta",'Mapa final'!$AC$23="Leve"),CONCATENATE("R3C",'Mapa final'!$Q$23),"")</f>
        <v/>
      </c>
      <c r="M8" s="53" t="str">
        <f>IF(AND('Mapa final'!$AA$24="Muy Alta",'Mapa final'!$AC$24="Leve"),CONCATENATE("R3C",'Mapa final'!$Q$24),"")</f>
        <v/>
      </c>
      <c r="N8" s="53" t="str">
        <f>IF(AND('Mapa final'!$AA$25="Muy Alta",'Mapa final'!$AC$25="Leve"),CONCATENATE("R3C",'Mapa final'!$Q$25),"")</f>
        <v/>
      </c>
      <c r="O8" s="54" t="str">
        <f>IF(AND('Mapa final'!$AA$26="Muy Alta",'Mapa final'!$AC$26="Leve"),CONCATENATE("R3C",'Mapa final'!$Q$26),"")</f>
        <v/>
      </c>
      <c r="P8" s="52" t="str">
        <f>IF(AND('Mapa final'!$AA$21="Muy Alta",'Mapa final'!$AC$21="Menor"),CONCATENATE("R3C",'Mapa final'!$Q$21),"")</f>
        <v/>
      </c>
      <c r="Q8" s="53" t="str">
        <f>IF(AND('Mapa final'!$AA$22="Muy Alta",'Mapa final'!$AC$22="Menor"),CONCATENATE("R3C",'Mapa final'!$Q$22),"")</f>
        <v/>
      </c>
      <c r="R8" s="53" t="str">
        <f>IF(AND('Mapa final'!$AA$23="Muy Alta",'Mapa final'!$AC$23="Menor"),CONCATENATE("R3C",'Mapa final'!$Q$23),"")</f>
        <v/>
      </c>
      <c r="S8" s="53" t="str">
        <f>IF(AND('Mapa final'!$AA$24="Muy Alta",'Mapa final'!$AC$24="Menor"),CONCATENATE("R3C",'Mapa final'!$Q$24),"")</f>
        <v/>
      </c>
      <c r="T8" s="53" t="str">
        <f>IF(AND('Mapa final'!$AA$25="Muy Alta",'Mapa final'!$AC$25="Menor"),CONCATENATE("R3C",'Mapa final'!$Q$25),"")</f>
        <v/>
      </c>
      <c r="U8" s="54" t="str">
        <f>IF(AND('Mapa final'!$AA$26="Muy Alta",'Mapa final'!$AC$26="Menor"),CONCATENATE("R3C",'Mapa final'!$Q$26),"")</f>
        <v/>
      </c>
      <c r="V8" s="52" t="str">
        <f>IF(AND('Mapa final'!$AA$21="Muy Alta",'Mapa final'!$AC$21="Moderado"),CONCATENATE("R3C",'Mapa final'!$Q$21),"")</f>
        <v/>
      </c>
      <c r="W8" s="53" t="str">
        <f>IF(AND('Mapa final'!$AA$22="Muy Alta",'Mapa final'!$AC$22="Moderado"),CONCATENATE("R3C",'Mapa final'!$Q$22),"")</f>
        <v/>
      </c>
      <c r="X8" s="53" t="str">
        <f>IF(AND('Mapa final'!$AA$23="Muy Alta",'Mapa final'!$AC$23="Moderado"),CONCATENATE("R3C",'Mapa final'!$Q$23),"")</f>
        <v/>
      </c>
      <c r="Y8" s="53" t="str">
        <f>IF(AND('Mapa final'!$AA$24="Muy Alta",'Mapa final'!$AC$24="Moderado"),CONCATENATE("R3C",'Mapa final'!$Q$24),"")</f>
        <v/>
      </c>
      <c r="Z8" s="53" t="str">
        <f>IF(AND('Mapa final'!$AA$25="Muy Alta",'Mapa final'!$AC$25="Moderado"),CONCATENATE("R3C",'Mapa final'!$Q$25),"")</f>
        <v/>
      </c>
      <c r="AA8" s="54" t="str">
        <f>IF(AND('Mapa final'!$AA$26="Muy Alta",'Mapa final'!$AC$26="Moderado"),CONCATENATE("R3C",'Mapa final'!$Q$26),"")</f>
        <v/>
      </c>
      <c r="AB8" s="52" t="str">
        <f>IF(AND('Mapa final'!$AA$21="Muy Alta",'Mapa final'!$AC$21="Mayor"),CONCATENATE("R3C",'Mapa final'!$Q$21),"")</f>
        <v/>
      </c>
      <c r="AC8" s="53" t="str">
        <f>IF(AND('Mapa final'!$AA$22="Muy Alta",'Mapa final'!$AC$22="Mayor"),CONCATENATE("R3C",'Mapa final'!$Q$22),"")</f>
        <v/>
      </c>
      <c r="AD8" s="53" t="str">
        <f>IF(AND('Mapa final'!$AA$23="Muy Alta",'Mapa final'!$AC$23="Mayor"),CONCATENATE("R3C",'Mapa final'!$Q$23),"")</f>
        <v/>
      </c>
      <c r="AE8" s="53" t="str">
        <f>IF(AND('Mapa final'!$AA$24="Muy Alta",'Mapa final'!$AC$24="Mayor"),CONCATENATE("R3C",'Mapa final'!$Q$24),"")</f>
        <v/>
      </c>
      <c r="AF8" s="53" t="str">
        <f>IF(AND('Mapa final'!$AA$25="Muy Alta",'Mapa final'!$AC$25="Mayor"),CONCATENATE("R3C",'Mapa final'!$Q$25),"")</f>
        <v/>
      </c>
      <c r="AG8" s="54" t="str">
        <f>IF(AND('Mapa final'!$AA$26="Muy Alta",'Mapa final'!$AC$26="Mayor"),CONCATENATE("R3C",'Mapa final'!$Q$26),"")</f>
        <v/>
      </c>
      <c r="AH8" s="55" t="str">
        <f>IF(AND('Mapa final'!$AA$21="Muy Alta",'Mapa final'!$AC$21="Catastrófico"),CONCATENATE("R3C",'Mapa final'!$Q$21),"")</f>
        <v/>
      </c>
      <c r="AI8" s="56" t="str">
        <f>IF(AND('Mapa final'!$AA$22="Muy Alta",'Mapa final'!$AC$22="Catastrófico"),CONCATENATE("R3C",'Mapa final'!$Q$22),"")</f>
        <v/>
      </c>
      <c r="AJ8" s="56" t="str">
        <f>IF(AND('Mapa final'!$AA$23="Muy Alta",'Mapa final'!$AC$23="Catastrófico"),CONCATENATE("R3C",'Mapa final'!$Q$23),"")</f>
        <v/>
      </c>
      <c r="AK8" s="56" t="str">
        <f>IF(AND('Mapa final'!$AA$24="Muy Alta",'Mapa final'!$AC$24="Catastrófico"),CONCATENATE("R3C",'Mapa final'!$Q$24),"")</f>
        <v/>
      </c>
      <c r="AL8" s="56" t="str">
        <f>IF(AND('Mapa final'!$AA$25="Muy Alta",'Mapa final'!$AC$25="Catastrófico"),CONCATENATE("R3C",'Mapa final'!$Q$25),"")</f>
        <v/>
      </c>
      <c r="AM8" s="57" t="str">
        <f>IF(AND('Mapa final'!$AA$26="Muy Alta",'Mapa final'!$AC$26="Catastrófico"),CONCATENATE("R3C",'Mapa final'!$Q$26),"")</f>
        <v/>
      </c>
      <c r="AN8" s="84"/>
      <c r="AO8" s="390"/>
      <c r="AP8" s="391"/>
      <c r="AQ8" s="391"/>
      <c r="AR8" s="391"/>
      <c r="AS8" s="391"/>
      <c r="AT8" s="39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2"/>
      <c r="C9" s="282"/>
      <c r="D9" s="283"/>
      <c r="E9" s="383"/>
      <c r="F9" s="384"/>
      <c r="G9" s="384"/>
      <c r="H9" s="384"/>
      <c r="I9" s="399"/>
      <c r="J9" s="52" t="str">
        <f>IF(AND('Mapa final'!$AA$27="Muy Alta",'Mapa final'!$AC$27="Leve"),CONCATENATE("R4C",'Mapa final'!$Q$27),"")</f>
        <v/>
      </c>
      <c r="K9" s="53" t="str">
        <f>IF(AND('Mapa final'!$AA$28="Muy Alta",'Mapa final'!$AC$28="Leve"),CONCATENATE("R4C",'Mapa final'!$Q$28),"")</f>
        <v/>
      </c>
      <c r="L9" s="58" t="str">
        <f>IF(AND('Mapa final'!$AA$29="Muy Alta",'Mapa final'!$AC$29="Leve"),CONCATENATE("R4C",'Mapa final'!$Q$29),"")</f>
        <v/>
      </c>
      <c r="M9" s="58" t="str">
        <f>IF(AND('Mapa final'!$AA$30="Muy Alta",'Mapa final'!$AC$30="Leve"),CONCATENATE("R4C",'Mapa final'!$Q$30),"")</f>
        <v/>
      </c>
      <c r="N9" s="58" t="str">
        <f>IF(AND('Mapa final'!$AA$31="Muy Alta",'Mapa final'!$AC$31="Leve"),CONCATENATE("R4C",'Mapa final'!$Q$31),"")</f>
        <v/>
      </c>
      <c r="O9" s="54" t="str">
        <f>IF(AND('Mapa final'!$AA$32="Muy Alta",'Mapa final'!$AC$32="Leve"),CONCATENATE("R4C",'Mapa final'!$Q$32),"")</f>
        <v/>
      </c>
      <c r="P9" s="52" t="str">
        <f>IF(AND('Mapa final'!$AA$27="Muy Alta",'Mapa final'!$AC$27="Menor"),CONCATENATE("R4C",'Mapa final'!$Q$27),"")</f>
        <v/>
      </c>
      <c r="Q9" s="53" t="str">
        <f>IF(AND('Mapa final'!$AA$28="Muy Alta",'Mapa final'!$AC$28="Menor"),CONCATENATE("R4C",'Mapa final'!$Q$28),"")</f>
        <v/>
      </c>
      <c r="R9" s="58" t="str">
        <f>IF(AND('Mapa final'!$AA$29="Muy Alta",'Mapa final'!$AC$29="Menor"),CONCATENATE("R4C",'Mapa final'!$Q$29),"")</f>
        <v/>
      </c>
      <c r="S9" s="58" t="str">
        <f>IF(AND('Mapa final'!$AA$30="Muy Alta",'Mapa final'!$AC$30="Menor"),CONCATENATE("R4C",'Mapa final'!$Q$30),"")</f>
        <v/>
      </c>
      <c r="T9" s="58" t="str">
        <f>IF(AND('Mapa final'!$AA$31="Muy Alta",'Mapa final'!$AC$31="Menor"),CONCATENATE("R4C",'Mapa final'!$Q$31),"")</f>
        <v/>
      </c>
      <c r="U9" s="54" t="str">
        <f>IF(AND('Mapa final'!$AA$32="Muy Alta",'Mapa final'!$AC$32="Menor"),CONCATENATE("R4C",'Mapa final'!$Q$32),"")</f>
        <v/>
      </c>
      <c r="V9" s="52" t="str">
        <f>IF(AND('Mapa final'!$AA$27="Muy Alta",'Mapa final'!$AC$27="Moderado"),CONCATENATE("R4C",'Mapa final'!$Q$27),"")</f>
        <v/>
      </c>
      <c r="W9" s="53" t="str">
        <f>IF(AND('Mapa final'!$AA$28="Muy Alta",'Mapa final'!$AC$28="Moderado"),CONCATENATE("R4C",'Mapa final'!$Q$28),"")</f>
        <v/>
      </c>
      <c r="X9" s="58" t="str">
        <f>IF(AND('Mapa final'!$AA$29="Muy Alta",'Mapa final'!$AC$29="Moderado"),CONCATENATE("R4C",'Mapa final'!$Q$29),"")</f>
        <v/>
      </c>
      <c r="Y9" s="58" t="str">
        <f>IF(AND('Mapa final'!$AA$30="Muy Alta",'Mapa final'!$AC$30="Moderado"),CONCATENATE("R4C",'Mapa final'!$Q$30),"")</f>
        <v/>
      </c>
      <c r="Z9" s="58" t="str">
        <f>IF(AND('Mapa final'!$AA$31="Muy Alta",'Mapa final'!$AC$31="Moderado"),CONCATENATE("R4C",'Mapa final'!$Q$31),"")</f>
        <v/>
      </c>
      <c r="AA9" s="54" t="str">
        <f>IF(AND('Mapa final'!$AA$32="Muy Alta",'Mapa final'!$AC$32="Moderado"),CONCATENATE("R4C",'Mapa final'!$Q$32),"")</f>
        <v/>
      </c>
      <c r="AB9" s="52" t="str">
        <f>IF(AND('Mapa final'!$AA$27="Muy Alta",'Mapa final'!$AC$27="Mayor"),CONCATENATE("R4C",'Mapa final'!$Q$27),"")</f>
        <v/>
      </c>
      <c r="AC9" s="53" t="str">
        <f>IF(AND('Mapa final'!$AA$28="Muy Alta",'Mapa final'!$AC$28="Mayor"),CONCATENATE("R4C",'Mapa final'!$Q$28),"")</f>
        <v/>
      </c>
      <c r="AD9" s="58" t="str">
        <f>IF(AND('Mapa final'!$AA$29="Muy Alta",'Mapa final'!$AC$29="Mayor"),CONCATENATE("R4C",'Mapa final'!$Q$29),"")</f>
        <v/>
      </c>
      <c r="AE9" s="58" t="str">
        <f>IF(AND('Mapa final'!$AA$30="Muy Alta",'Mapa final'!$AC$30="Mayor"),CONCATENATE("R4C",'Mapa final'!$Q$30),"")</f>
        <v/>
      </c>
      <c r="AF9" s="58" t="str">
        <f>IF(AND('Mapa final'!$AA$31="Muy Alta",'Mapa final'!$AC$31="Mayor"),CONCATENATE("R4C",'Mapa final'!$Q$31),"")</f>
        <v/>
      </c>
      <c r="AG9" s="54" t="str">
        <f>IF(AND('Mapa final'!$AA$32="Muy Alta",'Mapa final'!$AC$32="Mayor"),CONCATENATE("R4C",'Mapa final'!$Q$32),"")</f>
        <v/>
      </c>
      <c r="AH9" s="55" t="str">
        <f>IF(AND('Mapa final'!$AA$27="Muy Alta",'Mapa final'!$AC$27="Catastrófico"),CONCATENATE("R4C",'Mapa final'!$Q$27),"")</f>
        <v/>
      </c>
      <c r="AI9" s="56" t="str">
        <f>IF(AND('Mapa final'!$AA$28="Muy Alta",'Mapa final'!$AC$28="Catastrófico"),CONCATENATE("R4C",'Mapa final'!$Q$28),"")</f>
        <v/>
      </c>
      <c r="AJ9" s="56" t="str">
        <f>IF(AND('Mapa final'!$AA$29="Muy Alta",'Mapa final'!$AC$29="Catastrófico"),CONCATENATE("R4C",'Mapa final'!$Q$29),"")</f>
        <v/>
      </c>
      <c r="AK9" s="56" t="str">
        <f>IF(AND('Mapa final'!$AA$30="Muy Alta",'Mapa final'!$AC$30="Catastrófico"),CONCATENATE("R4C",'Mapa final'!$Q$30),"")</f>
        <v/>
      </c>
      <c r="AL9" s="56" t="str">
        <f>IF(AND('Mapa final'!$AA$31="Muy Alta",'Mapa final'!$AC$31="Catastrófico"),CONCATENATE("R4C",'Mapa final'!$Q$31),"")</f>
        <v/>
      </c>
      <c r="AM9" s="57" t="str">
        <f>IF(AND('Mapa final'!$AA$32="Muy Alta",'Mapa final'!$AC$32="Catastrófico"),CONCATENATE("R4C",'Mapa final'!$Q$32),"")</f>
        <v/>
      </c>
      <c r="AN9" s="84"/>
      <c r="AO9" s="390"/>
      <c r="AP9" s="391"/>
      <c r="AQ9" s="391"/>
      <c r="AR9" s="391"/>
      <c r="AS9" s="391"/>
      <c r="AT9" s="39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2"/>
      <c r="C10" s="282"/>
      <c r="D10" s="283"/>
      <c r="E10" s="383"/>
      <c r="F10" s="384"/>
      <c r="G10" s="384"/>
      <c r="H10" s="384"/>
      <c r="I10" s="399"/>
      <c r="J10" s="52" t="str">
        <f>IF(AND('Mapa final'!$AA$33="Muy Alta",'Mapa final'!$AC$33="Leve"),CONCATENATE("R5C",'Mapa final'!$Q$33),"")</f>
        <v/>
      </c>
      <c r="K10" s="53" t="str">
        <f>IF(AND('Mapa final'!$AA$34="Muy Alta",'Mapa final'!$AC$34="Leve"),CONCATENATE("R5C",'Mapa final'!$Q$34),"")</f>
        <v/>
      </c>
      <c r="L10" s="58" t="str">
        <f>IF(AND('Mapa final'!$AA$35="Muy Alta",'Mapa final'!$AC$35="Leve"),CONCATENATE("R5C",'Mapa final'!$Q$35),"")</f>
        <v/>
      </c>
      <c r="M10" s="58" t="str">
        <f>IF(AND('Mapa final'!$AA$36="Muy Alta",'Mapa final'!$AC$36="Leve"),CONCATENATE("R5C",'Mapa final'!$Q$36),"")</f>
        <v/>
      </c>
      <c r="N10" s="58" t="str">
        <f>IF(AND('Mapa final'!$AA$37="Muy Alta",'Mapa final'!$AC$37="Leve"),CONCATENATE("R5C",'Mapa final'!$Q$37),"")</f>
        <v/>
      </c>
      <c r="O10" s="54" t="str">
        <f>IF(AND('Mapa final'!$AA$38="Muy Alta",'Mapa final'!$AC$38="Leve"),CONCATENATE("R5C",'Mapa final'!$Q$38),"")</f>
        <v/>
      </c>
      <c r="P10" s="52" t="str">
        <f>IF(AND('Mapa final'!$AA$33="Muy Alta",'Mapa final'!$AC$33="Menor"),CONCATENATE("R5C",'Mapa final'!$Q$33),"")</f>
        <v/>
      </c>
      <c r="Q10" s="53" t="str">
        <f>IF(AND('Mapa final'!$AA$34="Muy Alta",'Mapa final'!$AC$34="Menor"),CONCATENATE("R5C",'Mapa final'!$Q$34),"")</f>
        <v/>
      </c>
      <c r="R10" s="58" t="str">
        <f>IF(AND('Mapa final'!$AA$35="Muy Alta",'Mapa final'!$AC$35="Menor"),CONCATENATE("R5C",'Mapa final'!$Q$35),"")</f>
        <v/>
      </c>
      <c r="S10" s="58" t="str">
        <f>IF(AND('Mapa final'!$AA$36="Muy Alta",'Mapa final'!$AC$36="Menor"),CONCATENATE("R5C",'Mapa final'!$Q$36),"")</f>
        <v/>
      </c>
      <c r="T10" s="58" t="str">
        <f>IF(AND('Mapa final'!$AA$37="Muy Alta",'Mapa final'!$AC$37="Menor"),CONCATENATE("R5C",'Mapa final'!$Q$37),"")</f>
        <v/>
      </c>
      <c r="U10" s="54" t="str">
        <f>IF(AND('Mapa final'!$AA$38="Muy Alta",'Mapa final'!$AC$38="Menor"),CONCATENATE("R5C",'Mapa final'!$Q$38),"")</f>
        <v/>
      </c>
      <c r="V10" s="52" t="str">
        <f>IF(AND('Mapa final'!$AA$33="Muy Alta",'Mapa final'!$AC$33="Moderado"),CONCATENATE("R5C",'Mapa final'!$Q$33),"")</f>
        <v/>
      </c>
      <c r="W10" s="53" t="str">
        <f>IF(AND('Mapa final'!$AA$34="Muy Alta",'Mapa final'!$AC$34="Moderado"),CONCATENATE("R5C",'Mapa final'!$Q$34),"")</f>
        <v/>
      </c>
      <c r="X10" s="58" t="str">
        <f>IF(AND('Mapa final'!$AA$35="Muy Alta",'Mapa final'!$AC$35="Moderado"),CONCATENATE("R5C",'Mapa final'!$Q$35),"")</f>
        <v/>
      </c>
      <c r="Y10" s="58" t="str">
        <f>IF(AND('Mapa final'!$AA$36="Muy Alta",'Mapa final'!$AC$36="Moderado"),CONCATENATE("R5C",'Mapa final'!$Q$36),"")</f>
        <v/>
      </c>
      <c r="Z10" s="58" t="str">
        <f>IF(AND('Mapa final'!$AA$37="Muy Alta",'Mapa final'!$AC$37="Moderado"),CONCATENATE("R5C",'Mapa final'!$Q$37),"")</f>
        <v/>
      </c>
      <c r="AA10" s="54" t="str">
        <f>IF(AND('Mapa final'!$AA$38="Muy Alta",'Mapa final'!$AC$38="Moderado"),CONCATENATE("R5C",'Mapa final'!$Q$38),"")</f>
        <v/>
      </c>
      <c r="AB10" s="52" t="str">
        <f>IF(AND('Mapa final'!$AA$33="Muy Alta",'Mapa final'!$AC$33="Mayor"),CONCATENATE("R5C",'Mapa final'!$Q$33),"")</f>
        <v/>
      </c>
      <c r="AC10" s="53" t="str">
        <f>IF(AND('Mapa final'!$AA$34="Muy Alta",'Mapa final'!$AC$34="Mayor"),CONCATENATE("R5C",'Mapa final'!$Q$34),"")</f>
        <v/>
      </c>
      <c r="AD10" s="58" t="str">
        <f>IF(AND('Mapa final'!$AA$35="Muy Alta",'Mapa final'!$AC$35="Mayor"),CONCATENATE("R5C",'Mapa final'!$Q$35),"")</f>
        <v/>
      </c>
      <c r="AE10" s="58" t="str">
        <f>IF(AND('Mapa final'!$AA$36="Muy Alta",'Mapa final'!$AC$36="Mayor"),CONCATENATE("R5C",'Mapa final'!$Q$36),"")</f>
        <v/>
      </c>
      <c r="AF10" s="58" t="str">
        <f>IF(AND('Mapa final'!$AA$37="Muy Alta",'Mapa final'!$AC$37="Mayor"),CONCATENATE("R5C",'Mapa final'!$Q$37),"")</f>
        <v/>
      </c>
      <c r="AG10" s="54" t="str">
        <f>IF(AND('Mapa final'!$AA$38="Muy Alta",'Mapa final'!$AC$38="Mayor"),CONCATENATE("R5C",'Mapa final'!$Q$38),"")</f>
        <v/>
      </c>
      <c r="AH10" s="55" t="str">
        <f>IF(AND('Mapa final'!$AA$33="Muy Alta",'Mapa final'!$AC$33="Catastrófico"),CONCATENATE("R5C",'Mapa final'!$Q$33),"")</f>
        <v/>
      </c>
      <c r="AI10" s="56" t="str">
        <f>IF(AND('Mapa final'!$AA$34="Muy Alta",'Mapa final'!$AC$34="Catastrófico"),CONCATENATE("R5C",'Mapa final'!$Q$34),"")</f>
        <v/>
      </c>
      <c r="AJ10" s="56" t="str">
        <f>IF(AND('Mapa final'!$AA$35="Muy Alta",'Mapa final'!$AC$35="Catastrófico"),CONCATENATE("R5C",'Mapa final'!$Q$35),"")</f>
        <v/>
      </c>
      <c r="AK10" s="56" t="str">
        <f>IF(AND('Mapa final'!$AA$36="Muy Alta",'Mapa final'!$AC$36="Catastrófico"),CONCATENATE("R5C",'Mapa final'!$Q$36),"")</f>
        <v/>
      </c>
      <c r="AL10" s="56" t="str">
        <f>IF(AND('Mapa final'!$AA$37="Muy Alta",'Mapa final'!$AC$37="Catastrófico"),CONCATENATE("R5C",'Mapa final'!$Q$37),"")</f>
        <v/>
      </c>
      <c r="AM10" s="57" t="str">
        <f>IF(AND('Mapa final'!$AA$38="Muy Alta",'Mapa final'!$AC$38="Catastrófico"),CONCATENATE("R5C",'Mapa final'!$Q$38),"")</f>
        <v/>
      </c>
      <c r="AN10" s="84"/>
      <c r="AO10" s="390"/>
      <c r="AP10" s="391"/>
      <c r="AQ10" s="391"/>
      <c r="AR10" s="391"/>
      <c r="AS10" s="391"/>
      <c r="AT10" s="39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2"/>
      <c r="C11" s="282"/>
      <c r="D11" s="283"/>
      <c r="E11" s="383"/>
      <c r="F11" s="384"/>
      <c r="G11" s="384"/>
      <c r="H11" s="384"/>
      <c r="I11" s="399"/>
      <c r="J11" s="52" t="str">
        <f>IF(AND('Mapa final'!$AA$39="Muy Alta",'Mapa final'!$AC$39="Leve"),CONCATENATE("R6C",'Mapa final'!$Q$39),"")</f>
        <v/>
      </c>
      <c r="K11" s="53" t="str">
        <f>IF(AND('Mapa final'!$AA$40="Muy Alta",'Mapa final'!$AC$40="Leve"),CONCATENATE("R6C",'Mapa final'!$Q$40),"")</f>
        <v/>
      </c>
      <c r="L11" s="58" t="str">
        <f>IF(AND('Mapa final'!$AA$41="Muy Alta",'Mapa final'!$AC$41="Leve"),CONCATENATE("R6C",'Mapa final'!$Q$41),"")</f>
        <v/>
      </c>
      <c r="M11" s="58" t="str">
        <f>IF(AND('Mapa final'!$AA$42="Muy Alta",'Mapa final'!$AC$42="Leve"),CONCATENATE("R6C",'Mapa final'!$Q$42),"")</f>
        <v/>
      </c>
      <c r="N11" s="58" t="str">
        <f>IF(AND('Mapa final'!$AA$43="Muy Alta",'Mapa final'!$AC$43="Leve"),CONCATENATE("R6C",'Mapa final'!$Q$43),"")</f>
        <v/>
      </c>
      <c r="O11" s="54" t="str">
        <f>IF(AND('Mapa final'!$AA$44="Muy Alta",'Mapa final'!$AC$44="Leve"),CONCATENATE("R6C",'Mapa final'!$Q$44),"")</f>
        <v/>
      </c>
      <c r="P11" s="52" t="str">
        <f>IF(AND('Mapa final'!$AA$39="Muy Alta",'Mapa final'!$AC$39="Menor"),CONCATENATE("R6C",'Mapa final'!$Q$39),"")</f>
        <v/>
      </c>
      <c r="Q11" s="53" t="str">
        <f>IF(AND('Mapa final'!$AA$40="Muy Alta",'Mapa final'!$AC$40="Menor"),CONCATENATE("R6C",'Mapa final'!$Q$40),"")</f>
        <v/>
      </c>
      <c r="R11" s="58" t="str">
        <f>IF(AND('Mapa final'!$AA$41="Muy Alta",'Mapa final'!$AC$41="Menor"),CONCATENATE("R6C",'Mapa final'!$Q$41),"")</f>
        <v/>
      </c>
      <c r="S11" s="58" t="str">
        <f>IF(AND('Mapa final'!$AA$42="Muy Alta",'Mapa final'!$AC$42="Menor"),CONCATENATE("R6C",'Mapa final'!$Q$42),"")</f>
        <v/>
      </c>
      <c r="T11" s="58" t="str">
        <f>IF(AND('Mapa final'!$AA$43="Muy Alta",'Mapa final'!$AC$43="Menor"),CONCATENATE("R6C",'Mapa final'!$Q$43),"")</f>
        <v/>
      </c>
      <c r="U11" s="54" t="str">
        <f>IF(AND('Mapa final'!$AA$44="Muy Alta",'Mapa final'!$AC$44="Menor"),CONCATENATE("R6C",'Mapa final'!$Q$44),"")</f>
        <v/>
      </c>
      <c r="V11" s="52" t="str">
        <f>IF(AND('Mapa final'!$AA$39="Muy Alta",'Mapa final'!$AC$39="Moderado"),CONCATENATE("R6C",'Mapa final'!$Q$39),"")</f>
        <v/>
      </c>
      <c r="W11" s="53" t="str">
        <f>IF(AND('Mapa final'!$AA$40="Muy Alta",'Mapa final'!$AC$40="Moderado"),CONCATENATE("R6C",'Mapa final'!$Q$40),"")</f>
        <v/>
      </c>
      <c r="X11" s="58" t="str">
        <f>IF(AND('Mapa final'!$AA$41="Muy Alta",'Mapa final'!$AC$41="Moderado"),CONCATENATE("R6C",'Mapa final'!$Q$41),"")</f>
        <v/>
      </c>
      <c r="Y11" s="58" t="str">
        <f>IF(AND('Mapa final'!$AA$42="Muy Alta",'Mapa final'!$AC$42="Moderado"),CONCATENATE("R6C",'Mapa final'!$Q$42),"")</f>
        <v/>
      </c>
      <c r="Z11" s="58" t="str">
        <f>IF(AND('Mapa final'!$AA$43="Muy Alta",'Mapa final'!$AC$43="Moderado"),CONCATENATE("R6C",'Mapa final'!$Q$43),"")</f>
        <v/>
      </c>
      <c r="AA11" s="54" t="str">
        <f>IF(AND('Mapa final'!$AA$44="Muy Alta",'Mapa final'!$AC$44="Moderado"),CONCATENATE("R6C",'Mapa final'!$Q$44),"")</f>
        <v/>
      </c>
      <c r="AB11" s="52" t="str">
        <f>IF(AND('Mapa final'!$AA$39="Muy Alta",'Mapa final'!$AC$39="Mayor"),CONCATENATE("R6C",'Mapa final'!$Q$39),"")</f>
        <v/>
      </c>
      <c r="AC11" s="53" t="str">
        <f>IF(AND('Mapa final'!$AA$40="Muy Alta",'Mapa final'!$AC$40="Mayor"),CONCATENATE("R6C",'Mapa final'!$Q$40),"")</f>
        <v/>
      </c>
      <c r="AD11" s="58" t="str">
        <f>IF(AND('Mapa final'!$AA$41="Muy Alta",'Mapa final'!$AC$41="Mayor"),CONCATENATE("R6C",'Mapa final'!$Q$41),"")</f>
        <v/>
      </c>
      <c r="AE11" s="58" t="str">
        <f>IF(AND('Mapa final'!$AA$42="Muy Alta",'Mapa final'!$AC$42="Mayor"),CONCATENATE("R6C",'Mapa final'!$Q$42),"")</f>
        <v/>
      </c>
      <c r="AF11" s="58" t="str">
        <f>IF(AND('Mapa final'!$AA$43="Muy Alta",'Mapa final'!$AC$43="Mayor"),CONCATENATE("R6C",'Mapa final'!$Q$43),"")</f>
        <v/>
      </c>
      <c r="AG11" s="54" t="str">
        <f>IF(AND('Mapa final'!$AA$44="Muy Alta",'Mapa final'!$AC$44="Mayor"),CONCATENATE("R6C",'Mapa final'!$Q$44),"")</f>
        <v/>
      </c>
      <c r="AH11" s="55" t="str">
        <f>IF(AND('Mapa final'!$AA$39="Muy Alta",'Mapa final'!$AC$39="Catastrófico"),CONCATENATE("R6C",'Mapa final'!$Q$39),"")</f>
        <v/>
      </c>
      <c r="AI11" s="56" t="str">
        <f>IF(AND('Mapa final'!$AA$40="Muy Alta",'Mapa final'!$AC$40="Catastrófico"),CONCATENATE("R6C",'Mapa final'!$Q$40),"")</f>
        <v/>
      </c>
      <c r="AJ11" s="56" t="str">
        <f>IF(AND('Mapa final'!$AA$41="Muy Alta",'Mapa final'!$AC$41="Catastrófico"),CONCATENATE("R6C",'Mapa final'!$Q$41),"")</f>
        <v/>
      </c>
      <c r="AK11" s="56" t="str">
        <f>IF(AND('Mapa final'!$AA$42="Muy Alta",'Mapa final'!$AC$42="Catastrófico"),CONCATENATE("R6C",'Mapa final'!$Q$42),"")</f>
        <v/>
      </c>
      <c r="AL11" s="56" t="str">
        <f>IF(AND('Mapa final'!$AA$43="Muy Alta",'Mapa final'!$AC$43="Catastrófico"),CONCATENATE("R6C",'Mapa final'!$Q$43),"")</f>
        <v/>
      </c>
      <c r="AM11" s="57" t="str">
        <f>IF(AND('Mapa final'!$AA$44="Muy Alta",'Mapa final'!$AC$44="Catastrófico"),CONCATENATE("R6C",'Mapa final'!$Q$44),"")</f>
        <v/>
      </c>
      <c r="AN11" s="84"/>
      <c r="AO11" s="390"/>
      <c r="AP11" s="391"/>
      <c r="AQ11" s="391"/>
      <c r="AR11" s="391"/>
      <c r="AS11" s="391"/>
      <c r="AT11" s="39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2"/>
      <c r="C12" s="282"/>
      <c r="D12" s="283"/>
      <c r="E12" s="383"/>
      <c r="F12" s="384"/>
      <c r="G12" s="384"/>
      <c r="H12" s="384"/>
      <c r="I12" s="399"/>
      <c r="J12" s="52" t="str">
        <f>IF(AND('Mapa final'!$AA$45="Muy Alta",'Mapa final'!$AC$45="Leve"),CONCATENATE("R7C",'Mapa final'!$Q$45),"")</f>
        <v/>
      </c>
      <c r="K12" s="53" t="str">
        <f>IF(AND('Mapa final'!$AA$46="Muy Alta",'Mapa final'!$AC$46="Leve"),CONCATENATE("R7C",'Mapa final'!$Q$46),"")</f>
        <v/>
      </c>
      <c r="L12" s="58" t="str">
        <f>IF(AND('Mapa final'!$AA$47="Muy Alta",'Mapa final'!$AC$47="Leve"),CONCATENATE("R7C",'Mapa final'!$Q$47),"")</f>
        <v/>
      </c>
      <c r="M12" s="58" t="str">
        <f>IF(AND('Mapa final'!$AA$48="Muy Alta",'Mapa final'!$AC$48="Leve"),CONCATENATE("R7C",'Mapa final'!$Q$48),"")</f>
        <v/>
      </c>
      <c r="N12" s="58" t="str">
        <f>IF(AND('Mapa final'!$AA$49="Muy Alta",'Mapa final'!$AC$49="Leve"),CONCATENATE("R7C",'Mapa final'!$Q$49),"")</f>
        <v/>
      </c>
      <c r="O12" s="54" t="str">
        <f>IF(AND('Mapa final'!$AA$50="Muy Alta",'Mapa final'!$AC$50="Leve"),CONCATENATE("R7C",'Mapa final'!$Q$50),"")</f>
        <v/>
      </c>
      <c r="P12" s="52" t="str">
        <f>IF(AND('Mapa final'!$AA$45="Muy Alta",'Mapa final'!$AC$45="Menor"),CONCATENATE("R7C",'Mapa final'!$Q$45),"")</f>
        <v/>
      </c>
      <c r="Q12" s="53" t="str">
        <f>IF(AND('Mapa final'!$AA$46="Muy Alta",'Mapa final'!$AC$46="Menor"),CONCATENATE("R7C",'Mapa final'!$Q$46),"")</f>
        <v/>
      </c>
      <c r="R12" s="58" t="str">
        <f>IF(AND('Mapa final'!$AA$47="Muy Alta",'Mapa final'!$AC$47="Menor"),CONCATENATE("R7C",'Mapa final'!$Q$47),"")</f>
        <v/>
      </c>
      <c r="S12" s="58" t="str">
        <f>IF(AND('Mapa final'!$AA$48="Muy Alta",'Mapa final'!$AC$48="Menor"),CONCATENATE("R7C",'Mapa final'!$Q$48),"")</f>
        <v/>
      </c>
      <c r="T12" s="58" t="str">
        <f>IF(AND('Mapa final'!$AA$49="Muy Alta",'Mapa final'!$AC$49="Menor"),CONCATENATE("R7C",'Mapa final'!$Q$49),"")</f>
        <v/>
      </c>
      <c r="U12" s="54" t="str">
        <f>IF(AND('Mapa final'!$AA$50="Muy Alta",'Mapa final'!$AC$50="Menor"),CONCATENATE("R7C",'Mapa final'!$Q$50),"")</f>
        <v/>
      </c>
      <c r="V12" s="52" t="str">
        <f>IF(AND('Mapa final'!$AA$45="Muy Alta",'Mapa final'!$AC$45="Moderado"),CONCATENATE("R7C",'Mapa final'!$Q$45),"")</f>
        <v/>
      </c>
      <c r="W12" s="53" t="str">
        <f>IF(AND('Mapa final'!$AA$46="Muy Alta",'Mapa final'!$AC$46="Moderado"),CONCATENATE("R7C",'Mapa final'!$Q$46),"")</f>
        <v/>
      </c>
      <c r="X12" s="58" t="str">
        <f>IF(AND('Mapa final'!$AA$47="Muy Alta",'Mapa final'!$AC$47="Moderado"),CONCATENATE("R7C",'Mapa final'!$Q$47),"")</f>
        <v/>
      </c>
      <c r="Y12" s="58" t="str">
        <f>IF(AND('Mapa final'!$AA$48="Muy Alta",'Mapa final'!$AC$48="Moderado"),CONCATENATE("R7C",'Mapa final'!$Q$48),"")</f>
        <v/>
      </c>
      <c r="Z12" s="58" t="str">
        <f>IF(AND('Mapa final'!$AA$49="Muy Alta",'Mapa final'!$AC$49="Moderado"),CONCATENATE("R7C",'Mapa final'!$Q$49),"")</f>
        <v/>
      </c>
      <c r="AA12" s="54" t="str">
        <f>IF(AND('Mapa final'!$AA$50="Muy Alta",'Mapa final'!$AC$50="Moderado"),CONCATENATE("R7C",'Mapa final'!$Q$50),"")</f>
        <v/>
      </c>
      <c r="AB12" s="52" t="str">
        <f>IF(AND('Mapa final'!$AA$45="Muy Alta",'Mapa final'!$AC$45="Mayor"),CONCATENATE("R7C",'Mapa final'!$Q$45),"")</f>
        <v/>
      </c>
      <c r="AC12" s="53" t="str">
        <f>IF(AND('Mapa final'!$AA$46="Muy Alta",'Mapa final'!$AC$46="Mayor"),CONCATENATE("R7C",'Mapa final'!$Q$46),"")</f>
        <v/>
      </c>
      <c r="AD12" s="58" t="str">
        <f>IF(AND('Mapa final'!$AA$47="Muy Alta",'Mapa final'!$AC$47="Mayor"),CONCATENATE("R7C",'Mapa final'!$Q$47),"")</f>
        <v/>
      </c>
      <c r="AE12" s="58" t="str">
        <f>IF(AND('Mapa final'!$AA$48="Muy Alta",'Mapa final'!$AC$48="Mayor"),CONCATENATE("R7C",'Mapa final'!$Q$48),"")</f>
        <v/>
      </c>
      <c r="AF12" s="58" t="str">
        <f>IF(AND('Mapa final'!$AA$49="Muy Alta",'Mapa final'!$AC$49="Mayor"),CONCATENATE("R7C",'Mapa final'!$Q$49),"")</f>
        <v/>
      </c>
      <c r="AG12" s="54" t="str">
        <f>IF(AND('Mapa final'!$AA$50="Muy Alta",'Mapa final'!$AC$50="Mayor"),CONCATENATE("R7C",'Mapa final'!$Q$50),"")</f>
        <v/>
      </c>
      <c r="AH12" s="55" t="str">
        <f>IF(AND('Mapa final'!$AA$45="Muy Alta",'Mapa final'!$AC$45="Catastrófico"),CONCATENATE("R7C",'Mapa final'!$Q$45),"")</f>
        <v/>
      </c>
      <c r="AI12" s="56" t="str">
        <f>IF(AND('Mapa final'!$AA$46="Muy Alta",'Mapa final'!$AC$46="Catastrófico"),CONCATENATE("R7C",'Mapa final'!$Q$46),"")</f>
        <v/>
      </c>
      <c r="AJ12" s="56" t="str">
        <f>IF(AND('Mapa final'!$AA$47="Muy Alta",'Mapa final'!$AC$47="Catastrófico"),CONCATENATE("R7C",'Mapa final'!$Q$47),"")</f>
        <v/>
      </c>
      <c r="AK12" s="56" t="str">
        <f>IF(AND('Mapa final'!$AA$48="Muy Alta",'Mapa final'!$AC$48="Catastrófico"),CONCATENATE("R7C",'Mapa final'!$Q$48),"")</f>
        <v/>
      </c>
      <c r="AL12" s="56" t="str">
        <f>IF(AND('Mapa final'!$AA$49="Muy Alta",'Mapa final'!$AC$49="Catastrófico"),CONCATENATE("R7C",'Mapa final'!$Q$49),"")</f>
        <v/>
      </c>
      <c r="AM12" s="57" t="str">
        <f>IF(AND('Mapa final'!$AA$50="Muy Alta",'Mapa final'!$AC$50="Catastrófico"),CONCATENATE("R7C",'Mapa final'!$Q$50),"")</f>
        <v/>
      </c>
      <c r="AN12" s="84"/>
      <c r="AO12" s="390"/>
      <c r="AP12" s="391"/>
      <c r="AQ12" s="391"/>
      <c r="AR12" s="391"/>
      <c r="AS12" s="391"/>
      <c r="AT12" s="39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2"/>
      <c r="C13" s="282"/>
      <c r="D13" s="283"/>
      <c r="E13" s="383"/>
      <c r="F13" s="384"/>
      <c r="G13" s="384"/>
      <c r="H13" s="384"/>
      <c r="I13" s="399"/>
      <c r="J13" s="52" t="str">
        <f>IF(AND('Mapa final'!$AA$51="Muy Alta",'Mapa final'!$AC$51="Leve"),CONCATENATE("R8C",'Mapa final'!$Q$51),"")</f>
        <v/>
      </c>
      <c r="K13" s="53" t="str">
        <f>IF(AND('Mapa final'!$AA$52="Muy Alta",'Mapa final'!$AC$52="Leve"),CONCATENATE("R8C",'Mapa final'!$Q$52),"")</f>
        <v/>
      </c>
      <c r="L13" s="58" t="str">
        <f>IF(AND('Mapa final'!$AA$53="Muy Alta",'Mapa final'!$AC$53="Leve"),CONCATENATE("R8C",'Mapa final'!$Q$53),"")</f>
        <v/>
      </c>
      <c r="M13" s="58" t="str">
        <f>IF(AND('Mapa final'!$AA$54="Muy Alta",'Mapa final'!$AC$54="Leve"),CONCATENATE("R8C",'Mapa final'!$Q$54),"")</f>
        <v/>
      </c>
      <c r="N13" s="58" t="str">
        <f>IF(AND('Mapa final'!$AA$55="Muy Alta",'Mapa final'!$AC$55="Leve"),CONCATENATE("R8C",'Mapa final'!$Q$55),"")</f>
        <v/>
      </c>
      <c r="O13" s="54" t="str">
        <f>IF(AND('Mapa final'!$AA$56="Muy Alta",'Mapa final'!$AC$56="Leve"),CONCATENATE("R8C",'Mapa final'!$Q$56),"")</f>
        <v/>
      </c>
      <c r="P13" s="52" t="str">
        <f>IF(AND('Mapa final'!$AA$51="Muy Alta",'Mapa final'!$AC$51="Menor"),CONCATENATE("R8C",'Mapa final'!$Q$51),"")</f>
        <v/>
      </c>
      <c r="Q13" s="53" t="str">
        <f>IF(AND('Mapa final'!$AA$52="Muy Alta",'Mapa final'!$AC$52="Menor"),CONCATENATE("R8C",'Mapa final'!$Q$52),"")</f>
        <v/>
      </c>
      <c r="R13" s="58" t="str">
        <f>IF(AND('Mapa final'!$AA$53="Muy Alta",'Mapa final'!$AC$53="Menor"),CONCATENATE("R8C",'Mapa final'!$Q$53),"")</f>
        <v/>
      </c>
      <c r="S13" s="58" t="str">
        <f>IF(AND('Mapa final'!$AA$54="Muy Alta",'Mapa final'!$AC$54="Menor"),CONCATENATE("R8C",'Mapa final'!$Q$54),"")</f>
        <v/>
      </c>
      <c r="T13" s="58" t="str">
        <f>IF(AND('Mapa final'!$AA$55="Muy Alta",'Mapa final'!$AC$55="Menor"),CONCATENATE("R8C",'Mapa final'!$Q$55),"")</f>
        <v/>
      </c>
      <c r="U13" s="54" t="str">
        <f>IF(AND('Mapa final'!$AA$56="Muy Alta",'Mapa final'!$AC$56="Menor"),CONCATENATE("R8C",'Mapa final'!$Q$56),"")</f>
        <v/>
      </c>
      <c r="V13" s="52" t="str">
        <f>IF(AND('Mapa final'!$AA$51="Muy Alta",'Mapa final'!$AC$51="Moderado"),CONCATENATE("R8C",'Mapa final'!$Q$51),"")</f>
        <v/>
      </c>
      <c r="W13" s="53" t="str">
        <f>IF(AND('Mapa final'!$AA$52="Muy Alta",'Mapa final'!$AC$52="Moderado"),CONCATENATE("R8C",'Mapa final'!$Q$52),"")</f>
        <v/>
      </c>
      <c r="X13" s="58" t="str">
        <f>IF(AND('Mapa final'!$AA$53="Muy Alta",'Mapa final'!$AC$53="Moderado"),CONCATENATE("R8C",'Mapa final'!$Q$53),"")</f>
        <v/>
      </c>
      <c r="Y13" s="58" t="str">
        <f>IF(AND('Mapa final'!$AA$54="Muy Alta",'Mapa final'!$AC$54="Moderado"),CONCATENATE("R8C",'Mapa final'!$Q$54),"")</f>
        <v/>
      </c>
      <c r="Z13" s="58" t="str">
        <f>IF(AND('Mapa final'!$AA$55="Muy Alta",'Mapa final'!$AC$55="Moderado"),CONCATENATE("R8C",'Mapa final'!$Q$55),"")</f>
        <v/>
      </c>
      <c r="AA13" s="54" t="str">
        <f>IF(AND('Mapa final'!$AA$56="Muy Alta",'Mapa final'!$AC$56="Moderado"),CONCATENATE("R8C",'Mapa final'!$Q$56),"")</f>
        <v/>
      </c>
      <c r="AB13" s="52" t="str">
        <f>IF(AND('Mapa final'!$AA$51="Muy Alta",'Mapa final'!$AC$51="Mayor"),CONCATENATE("R8C",'Mapa final'!$Q$51),"")</f>
        <v/>
      </c>
      <c r="AC13" s="53" t="str">
        <f>IF(AND('Mapa final'!$AA$52="Muy Alta",'Mapa final'!$AC$52="Mayor"),CONCATENATE("R8C",'Mapa final'!$Q$52),"")</f>
        <v/>
      </c>
      <c r="AD13" s="58" t="str">
        <f>IF(AND('Mapa final'!$AA$53="Muy Alta",'Mapa final'!$AC$53="Mayor"),CONCATENATE("R8C",'Mapa final'!$Q$53),"")</f>
        <v/>
      </c>
      <c r="AE13" s="58" t="str">
        <f>IF(AND('Mapa final'!$AA$54="Muy Alta",'Mapa final'!$AC$54="Mayor"),CONCATENATE("R8C",'Mapa final'!$Q$54),"")</f>
        <v/>
      </c>
      <c r="AF13" s="58" t="str">
        <f>IF(AND('Mapa final'!$AA$55="Muy Alta",'Mapa final'!$AC$55="Mayor"),CONCATENATE("R8C",'Mapa final'!$Q$55),"")</f>
        <v/>
      </c>
      <c r="AG13" s="54" t="str">
        <f>IF(AND('Mapa final'!$AA$56="Muy Alta",'Mapa final'!$AC$56="Mayor"),CONCATENATE("R8C",'Mapa final'!$Q$56),"")</f>
        <v/>
      </c>
      <c r="AH13" s="55" t="str">
        <f>IF(AND('Mapa final'!$AA$51="Muy Alta",'Mapa final'!$AC$51="Catastrófico"),CONCATENATE("R8C",'Mapa final'!$Q$51),"")</f>
        <v/>
      </c>
      <c r="AI13" s="56" t="str">
        <f>IF(AND('Mapa final'!$AA$52="Muy Alta",'Mapa final'!$AC$52="Catastrófico"),CONCATENATE("R8C",'Mapa final'!$Q$52),"")</f>
        <v/>
      </c>
      <c r="AJ13" s="56" t="str">
        <f>IF(AND('Mapa final'!$AA$53="Muy Alta",'Mapa final'!$AC$53="Catastrófico"),CONCATENATE("R8C",'Mapa final'!$Q$53),"")</f>
        <v/>
      </c>
      <c r="AK13" s="56" t="str">
        <f>IF(AND('Mapa final'!$AA$54="Muy Alta",'Mapa final'!$AC$54="Catastrófico"),CONCATENATE("R8C",'Mapa final'!$Q$54),"")</f>
        <v/>
      </c>
      <c r="AL13" s="56" t="str">
        <f>IF(AND('Mapa final'!$AA$55="Muy Alta",'Mapa final'!$AC$55="Catastrófico"),CONCATENATE("R8C",'Mapa final'!$Q$55),"")</f>
        <v/>
      </c>
      <c r="AM13" s="57" t="str">
        <f>IF(AND('Mapa final'!$AA$56="Muy Alta",'Mapa final'!$AC$56="Catastrófico"),CONCATENATE("R8C",'Mapa final'!$Q$56),"")</f>
        <v/>
      </c>
      <c r="AN13" s="84"/>
      <c r="AO13" s="390"/>
      <c r="AP13" s="391"/>
      <c r="AQ13" s="391"/>
      <c r="AR13" s="391"/>
      <c r="AS13" s="391"/>
      <c r="AT13" s="39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2"/>
      <c r="C14" s="282"/>
      <c r="D14" s="283"/>
      <c r="E14" s="383"/>
      <c r="F14" s="384"/>
      <c r="G14" s="384"/>
      <c r="H14" s="384"/>
      <c r="I14" s="399"/>
      <c r="J14" s="52" t="str">
        <f>IF(AND('Mapa final'!$AA$57="Muy Alta",'Mapa final'!$AC$57="Leve"),CONCATENATE("R9C",'Mapa final'!$Q$57),"")</f>
        <v/>
      </c>
      <c r="K14" s="53" t="str">
        <f>IF(AND('Mapa final'!$AA$58="Muy Alta",'Mapa final'!$AC$58="Leve"),CONCATENATE("R9C",'Mapa final'!$Q$58),"")</f>
        <v/>
      </c>
      <c r="L14" s="58" t="str">
        <f>IF(AND('Mapa final'!$AA$59="Muy Alta",'Mapa final'!$AC$59="Leve"),CONCATENATE("R9C",'Mapa final'!$Q$59),"")</f>
        <v/>
      </c>
      <c r="M14" s="58" t="str">
        <f>IF(AND('Mapa final'!$AA$60="Muy Alta",'Mapa final'!$AC$60="Leve"),CONCATENATE("R9C",'Mapa final'!$Q$60),"")</f>
        <v/>
      </c>
      <c r="N14" s="58" t="str">
        <f>IF(AND('Mapa final'!$AA$61="Muy Alta",'Mapa final'!$AC$61="Leve"),CONCATENATE("R9C",'Mapa final'!$Q$61),"")</f>
        <v/>
      </c>
      <c r="O14" s="54" t="str">
        <f>IF(AND('Mapa final'!$AA$62="Muy Alta",'Mapa final'!$AC$62="Leve"),CONCATENATE("R9C",'Mapa final'!$Q$62),"")</f>
        <v/>
      </c>
      <c r="P14" s="52" t="str">
        <f>IF(AND('Mapa final'!$AA$57="Muy Alta",'Mapa final'!$AC$57="Menor"),CONCATENATE("R9C",'Mapa final'!$Q$57),"")</f>
        <v/>
      </c>
      <c r="Q14" s="53" t="str">
        <f>IF(AND('Mapa final'!$AA$58="Muy Alta",'Mapa final'!$AC$58="Menor"),CONCATENATE("R9C",'Mapa final'!$Q$58),"")</f>
        <v/>
      </c>
      <c r="R14" s="58" t="str">
        <f>IF(AND('Mapa final'!$AA$59="Muy Alta",'Mapa final'!$AC$59="Menor"),CONCATENATE("R9C",'Mapa final'!$Q$59),"")</f>
        <v/>
      </c>
      <c r="S14" s="58" t="str">
        <f>IF(AND('Mapa final'!$AA$60="Muy Alta",'Mapa final'!$AC$60="Menor"),CONCATENATE("R9C",'Mapa final'!$Q$60),"")</f>
        <v/>
      </c>
      <c r="T14" s="58" t="str">
        <f>IF(AND('Mapa final'!$AA$61="Muy Alta",'Mapa final'!$AC$61="Menor"),CONCATENATE("R9C",'Mapa final'!$Q$61),"")</f>
        <v/>
      </c>
      <c r="U14" s="54" t="str">
        <f>IF(AND('Mapa final'!$AA$62="Muy Alta",'Mapa final'!$AC$62="Menor"),CONCATENATE("R9C",'Mapa final'!$Q$62),"")</f>
        <v/>
      </c>
      <c r="V14" s="52" t="str">
        <f>IF(AND('Mapa final'!$AA$57="Muy Alta",'Mapa final'!$AC$57="Moderado"),CONCATENATE("R9C",'Mapa final'!$Q$57),"")</f>
        <v/>
      </c>
      <c r="W14" s="53" t="str">
        <f>IF(AND('Mapa final'!$AA$58="Muy Alta",'Mapa final'!$AC$58="Moderado"),CONCATENATE("R9C",'Mapa final'!$Q$58),"")</f>
        <v/>
      </c>
      <c r="X14" s="58" t="str">
        <f>IF(AND('Mapa final'!$AA$59="Muy Alta",'Mapa final'!$AC$59="Moderado"),CONCATENATE("R9C",'Mapa final'!$Q$59),"")</f>
        <v/>
      </c>
      <c r="Y14" s="58" t="str">
        <f>IF(AND('Mapa final'!$AA$60="Muy Alta",'Mapa final'!$AC$60="Moderado"),CONCATENATE("R9C",'Mapa final'!$Q$60),"")</f>
        <v/>
      </c>
      <c r="Z14" s="58" t="str">
        <f>IF(AND('Mapa final'!$AA$61="Muy Alta",'Mapa final'!$AC$61="Moderado"),CONCATENATE("R9C",'Mapa final'!$Q$61),"")</f>
        <v/>
      </c>
      <c r="AA14" s="54" t="str">
        <f>IF(AND('Mapa final'!$AA$62="Muy Alta",'Mapa final'!$AC$62="Moderado"),CONCATENATE("R9C",'Mapa final'!$Q$62),"")</f>
        <v/>
      </c>
      <c r="AB14" s="52" t="str">
        <f>IF(AND('Mapa final'!$AA$57="Muy Alta",'Mapa final'!$AC$57="Mayor"),CONCATENATE("R9C",'Mapa final'!$Q$57),"")</f>
        <v/>
      </c>
      <c r="AC14" s="53" t="str">
        <f>IF(AND('Mapa final'!$AA$58="Muy Alta",'Mapa final'!$AC$58="Mayor"),CONCATENATE("R9C",'Mapa final'!$Q$58),"")</f>
        <v/>
      </c>
      <c r="AD14" s="58" t="str">
        <f>IF(AND('Mapa final'!$AA$59="Muy Alta",'Mapa final'!$AC$59="Mayor"),CONCATENATE("R9C",'Mapa final'!$Q$59),"")</f>
        <v/>
      </c>
      <c r="AE14" s="58" t="str">
        <f>IF(AND('Mapa final'!$AA$60="Muy Alta",'Mapa final'!$AC$60="Mayor"),CONCATENATE("R9C",'Mapa final'!$Q$60),"")</f>
        <v/>
      </c>
      <c r="AF14" s="58" t="str">
        <f>IF(AND('Mapa final'!$AA$61="Muy Alta",'Mapa final'!$AC$61="Mayor"),CONCATENATE("R9C",'Mapa final'!$Q$61),"")</f>
        <v/>
      </c>
      <c r="AG14" s="54" t="str">
        <f>IF(AND('Mapa final'!$AA$62="Muy Alta",'Mapa final'!$AC$62="Mayor"),CONCATENATE("R9C",'Mapa final'!$Q$62),"")</f>
        <v/>
      </c>
      <c r="AH14" s="55" t="str">
        <f>IF(AND('Mapa final'!$AA$57="Muy Alta",'Mapa final'!$AC$57="Catastrófico"),CONCATENATE("R9C",'Mapa final'!$Q$57),"")</f>
        <v/>
      </c>
      <c r="AI14" s="56" t="str">
        <f>IF(AND('Mapa final'!$AA$58="Muy Alta",'Mapa final'!$AC$58="Catastrófico"),CONCATENATE("R9C",'Mapa final'!$Q$58),"")</f>
        <v/>
      </c>
      <c r="AJ14" s="56" t="str">
        <f>IF(AND('Mapa final'!$AA$59="Muy Alta",'Mapa final'!$AC$59="Catastrófico"),CONCATENATE("R9C",'Mapa final'!$Q$59),"")</f>
        <v/>
      </c>
      <c r="AK14" s="56" t="str">
        <f>IF(AND('Mapa final'!$AA$60="Muy Alta",'Mapa final'!$AC$60="Catastrófico"),CONCATENATE("R9C",'Mapa final'!$Q$60),"")</f>
        <v/>
      </c>
      <c r="AL14" s="56" t="str">
        <f>IF(AND('Mapa final'!$AA$61="Muy Alta",'Mapa final'!$AC$61="Catastrófico"),CONCATENATE("R9C",'Mapa final'!$Q$61),"")</f>
        <v/>
      </c>
      <c r="AM14" s="57" t="str">
        <f>IF(AND('Mapa final'!$AA$62="Muy Alta",'Mapa final'!$AC$62="Catastrófico"),CONCATENATE("R9C",'Mapa final'!$Q$62),"")</f>
        <v/>
      </c>
      <c r="AN14" s="84"/>
      <c r="AO14" s="390"/>
      <c r="AP14" s="391"/>
      <c r="AQ14" s="391"/>
      <c r="AR14" s="391"/>
      <c r="AS14" s="391"/>
      <c r="AT14" s="39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2"/>
      <c r="C15" s="282"/>
      <c r="D15" s="283"/>
      <c r="E15" s="385"/>
      <c r="F15" s="386"/>
      <c r="G15" s="386"/>
      <c r="H15" s="386"/>
      <c r="I15" s="400"/>
      <c r="J15" s="59" t="str">
        <f>IF(AND('Mapa final'!$AA$63="Muy Alta",'Mapa final'!$AC$63="Leve"),CONCATENATE("R10C",'Mapa final'!$Q$63),"")</f>
        <v/>
      </c>
      <c r="K15" s="60" t="str">
        <f>IF(AND('Mapa final'!$AA$64="Muy Alta",'Mapa final'!$AC$64="Leve"),CONCATENATE("R10C",'Mapa final'!$Q$64),"")</f>
        <v/>
      </c>
      <c r="L15" s="60" t="str">
        <f>IF(AND('Mapa final'!$AA$65="Muy Alta",'Mapa final'!$AC$65="Leve"),CONCATENATE("R10C",'Mapa final'!$Q$65),"")</f>
        <v/>
      </c>
      <c r="M15" s="60" t="str">
        <f>IF(AND('Mapa final'!$AA$66="Muy Alta",'Mapa final'!$AC$66="Leve"),CONCATENATE("R10C",'Mapa final'!$Q$66),"")</f>
        <v/>
      </c>
      <c r="N15" s="60" t="str">
        <f>IF(AND('Mapa final'!$AA$67="Muy Alta",'Mapa final'!$AC$67="Leve"),CONCATENATE("R10C",'Mapa final'!$Q$67),"")</f>
        <v/>
      </c>
      <c r="O15" s="61" t="str">
        <f>IF(AND('Mapa final'!$AA$68="Muy Alta",'Mapa final'!$AC$68="Leve"),CONCATENATE("R10C",'Mapa final'!$Q$68),"")</f>
        <v/>
      </c>
      <c r="P15" s="52" t="str">
        <f>IF(AND('Mapa final'!$AA$63="Muy Alta",'Mapa final'!$AC$63="Menor"),CONCATENATE("R10C",'Mapa final'!$Q$63),"")</f>
        <v/>
      </c>
      <c r="Q15" s="53" t="str">
        <f>IF(AND('Mapa final'!$AA$64="Muy Alta",'Mapa final'!$AC$64="Menor"),CONCATENATE("R10C",'Mapa final'!$Q$64),"")</f>
        <v/>
      </c>
      <c r="R15" s="53" t="str">
        <f>IF(AND('Mapa final'!$AA$65="Muy Alta",'Mapa final'!$AC$65="Menor"),CONCATENATE("R10C",'Mapa final'!$Q$65),"")</f>
        <v/>
      </c>
      <c r="S15" s="53" t="str">
        <f>IF(AND('Mapa final'!$AA$66="Muy Alta",'Mapa final'!$AC$66="Menor"),CONCATENATE("R10C",'Mapa final'!$Q$66),"")</f>
        <v/>
      </c>
      <c r="T15" s="53" t="str">
        <f>IF(AND('Mapa final'!$AA$67="Muy Alta",'Mapa final'!$AC$67="Menor"),CONCATENATE("R10C",'Mapa final'!$Q$67),"")</f>
        <v/>
      </c>
      <c r="U15" s="54" t="str">
        <f>IF(AND('Mapa final'!$AA$68="Muy Alta",'Mapa final'!$AC$68="Menor"),CONCATENATE("R10C",'Mapa final'!$Q$68),"")</f>
        <v/>
      </c>
      <c r="V15" s="59" t="str">
        <f>IF(AND('Mapa final'!$AA$63="Muy Alta",'Mapa final'!$AC$63="Moderado"),CONCATENATE("R10C",'Mapa final'!$Q$63),"")</f>
        <v/>
      </c>
      <c r="W15" s="60" t="str">
        <f>IF(AND('Mapa final'!$AA$64="Muy Alta",'Mapa final'!$AC$64="Moderado"),CONCATENATE("R10C",'Mapa final'!$Q$64),"")</f>
        <v/>
      </c>
      <c r="X15" s="60" t="str">
        <f>IF(AND('Mapa final'!$AA$65="Muy Alta",'Mapa final'!$AC$65="Moderado"),CONCATENATE("R10C",'Mapa final'!$Q$65),"")</f>
        <v/>
      </c>
      <c r="Y15" s="60" t="str">
        <f>IF(AND('Mapa final'!$AA$66="Muy Alta",'Mapa final'!$AC$66="Moderado"),CONCATENATE("R10C",'Mapa final'!$Q$66),"")</f>
        <v/>
      </c>
      <c r="Z15" s="60" t="str">
        <f>IF(AND('Mapa final'!$AA$67="Muy Alta",'Mapa final'!$AC$67="Moderado"),CONCATENATE("R10C",'Mapa final'!$Q$67),"")</f>
        <v/>
      </c>
      <c r="AA15" s="61" t="str">
        <f>IF(AND('Mapa final'!$AA$68="Muy Alta",'Mapa final'!$AC$68="Moderado"),CONCATENATE("R10C",'Mapa final'!$Q$68),"")</f>
        <v/>
      </c>
      <c r="AB15" s="52" t="str">
        <f>IF(AND('Mapa final'!$AA$63="Muy Alta",'Mapa final'!$AC$63="Mayor"),CONCATENATE("R10C",'Mapa final'!$Q$63),"")</f>
        <v/>
      </c>
      <c r="AC15" s="53" t="str">
        <f>IF(AND('Mapa final'!$AA$64="Muy Alta",'Mapa final'!$AC$64="Mayor"),CONCATENATE("R10C",'Mapa final'!$Q$64),"")</f>
        <v/>
      </c>
      <c r="AD15" s="53" t="str">
        <f>IF(AND('Mapa final'!$AA$65="Muy Alta",'Mapa final'!$AC$65="Mayor"),CONCATENATE("R10C",'Mapa final'!$Q$65),"")</f>
        <v/>
      </c>
      <c r="AE15" s="53" t="str">
        <f>IF(AND('Mapa final'!$AA$66="Muy Alta",'Mapa final'!$AC$66="Mayor"),CONCATENATE("R10C",'Mapa final'!$Q$66),"")</f>
        <v/>
      </c>
      <c r="AF15" s="53" t="str">
        <f>IF(AND('Mapa final'!$AA$67="Muy Alta",'Mapa final'!$AC$67="Mayor"),CONCATENATE("R10C",'Mapa final'!$Q$67),"")</f>
        <v/>
      </c>
      <c r="AG15" s="54" t="str">
        <f>IF(AND('Mapa final'!$AA$68="Muy Alta",'Mapa final'!$AC$68="Mayor"),CONCATENATE("R10C",'Mapa final'!$Q$68),"")</f>
        <v/>
      </c>
      <c r="AH15" s="62" t="str">
        <f>IF(AND('Mapa final'!$AA$63="Muy Alta",'Mapa final'!$AC$63="Catastrófico"),CONCATENATE("R10C",'Mapa final'!$Q$63),"")</f>
        <v/>
      </c>
      <c r="AI15" s="63" t="str">
        <f>IF(AND('Mapa final'!$AA$64="Muy Alta",'Mapa final'!$AC$64="Catastrófico"),CONCATENATE("R10C",'Mapa final'!$Q$64),"")</f>
        <v/>
      </c>
      <c r="AJ15" s="63" t="str">
        <f>IF(AND('Mapa final'!$AA$65="Muy Alta",'Mapa final'!$AC$65="Catastrófico"),CONCATENATE("R10C",'Mapa final'!$Q$65),"")</f>
        <v/>
      </c>
      <c r="AK15" s="63" t="str">
        <f>IF(AND('Mapa final'!$AA$66="Muy Alta",'Mapa final'!$AC$66="Catastrófico"),CONCATENATE("R10C",'Mapa final'!$Q$66),"")</f>
        <v/>
      </c>
      <c r="AL15" s="63" t="str">
        <f>IF(AND('Mapa final'!$AA$67="Muy Alta",'Mapa final'!$AC$67="Catastrófico"),CONCATENATE("R10C",'Mapa final'!$Q$67),"")</f>
        <v/>
      </c>
      <c r="AM15" s="64" t="str">
        <f>IF(AND('Mapa final'!$AA$68="Muy Alta",'Mapa final'!$AC$68="Catastrófico"),CONCATENATE("R10C",'Mapa final'!$Q$68),"")</f>
        <v/>
      </c>
      <c r="AN15" s="84"/>
      <c r="AO15" s="393"/>
      <c r="AP15" s="394"/>
      <c r="AQ15" s="394"/>
      <c r="AR15" s="394"/>
      <c r="AS15" s="394"/>
      <c r="AT15" s="39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2"/>
      <c r="C16" s="282"/>
      <c r="D16" s="283"/>
      <c r="E16" s="379" t="s">
        <v>107</v>
      </c>
      <c r="F16" s="380"/>
      <c r="G16" s="380"/>
      <c r="H16" s="380"/>
      <c r="I16" s="380"/>
      <c r="J16" s="65" t="str">
        <f ca="1">IF(AND('Mapa final'!$AA$11="Alta",'Mapa final'!$AC$11="Leve"),CONCATENATE("R1C",'Mapa final'!$Q$11),"")</f>
        <v/>
      </c>
      <c r="K16" s="66" t="str">
        <f ca="1">IF(AND('Mapa final'!$AA$12="Alta",'Mapa final'!$AC$12="Leve"),CONCATENATE("R1C",'Mapa final'!$Q$12),"")</f>
        <v/>
      </c>
      <c r="L16" s="66" t="e">
        <f>IF(AND('Mapa final'!#REF!="Alta",'Mapa final'!#REF!="Leve"),CONCATENATE("R1C",'Mapa final'!#REF!),"")</f>
        <v>#REF!</v>
      </c>
      <c r="M16" s="66" t="e">
        <f>IF(AND('Mapa final'!#REF!="Alta",'Mapa final'!#REF!="Leve"),CONCATENATE("R1C",'Mapa final'!#REF!),"")</f>
        <v>#REF!</v>
      </c>
      <c r="N16" s="66" t="str">
        <f>IF(AND('Mapa final'!$AA$13="Alta",'Mapa final'!$AC$13="Leve"),CONCATENATE("R1C",'Mapa final'!$Q$13),"")</f>
        <v/>
      </c>
      <c r="O16" s="67" t="str">
        <f>IF(AND('Mapa final'!$AA$14="Alta",'Mapa final'!$AC$14="Leve"),CONCATENATE("R1C",'Mapa final'!$Q$14),"")</f>
        <v/>
      </c>
      <c r="P16" s="65" t="str">
        <f ca="1">IF(AND('Mapa final'!$AA$11="Alta",'Mapa final'!$AC$11="Menor"),CONCATENATE("R1C",'Mapa final'!$Q$11),"")</f>
        <v/>
      </c>
      <c r="Q16" s="66" t="str">
        <f ca="1">IF(AND('Mapa final'!$AA$12="Alta",'Mapa final'!$AC$12="Menor"),CONCATENATE("R1C",'Mapa final'!$Q$12),"")</f>
        <v/>
      </c>
      <c r="R16" s="66" t="e">
        <f>IF(AND('Mapa final'!#REF!="Alta",'Mapa final'!#REF!="Menor"),CONCATENATE("R1C",'Mapa final'!#REF!),"")</f>
        <v>#REF!</v>
      </c>
      <c r="S16" s="66" t="e">
        <f>IF(AND('Mapa final'!#REF!="Alta",'Mapa final'!#REF!="Menor"),CONCATENATE("R1C",'Mapa final'!#REF!),"")</f>
        <v>#REF!</v>
      </c>
      <c r="T16" s="66" t="str">
        <f>IF(AND('Mapa final'!$AA$13="Alta",'Mapa final'!$AC$13="Menor"),CONCATENATE("R1C",'Mapa final'!$Q$13),"")</f>
        <v/>
      </c>
      <c r="U16" s="67" t="str">
        <f>IF(AND('Mapa final'!$AA$14="Alta",'Mapa final'!$AC$14="Menor"),CONCATENATE("R1C",'Mapa final'!$Q$14),"")</f>
        <v/>
      </c>
      <c r="V16" s="46" t="str">
        <f ca="1">IF(AND('Mapa final'!$AA$11="Alta",'Mapa final'!$AC$11="Moderado"),CONCATENATE("R1C",'Mapa final'!$Q$11),"")</f>
        <v/>
      </c>
      <c r="W16" s="47" t="str">
        <f ca="1">IF(AND('Mapa final'!$AA$12="Alta",'Mapa final'!$AC$12="Moderado"),CONCATENATE("R1C",'Mapa final'!$Q$12),"")</f>
        <v/>
      </c>
      <c r="X16" s="47" t="e">
        <f>IF(AND('Mapa final'!#REF!="Alta",'Mapa final'!#REF!="Moderado"),CONCATENATE("R1C",'Mapa final'!#REF!),"")</f>
        <v>#REF!</v>
      </c>
      <c r="Y16" s="47" t="e">
        <f>IF(AND('Mapa final'!#REF!="Alta",'Mapa final'!#REF!="Moderado"),CONCATENATE("R1C",'Mapa final'!#REF!),"")</f>
        <v>#REF!</v>
      </c>
      <c r="Z16" s="47" t="str">
        <f>IF(AND('Mapa final'!$AA$13="Alta",'Mapa final'!$AC$13="Moderado"),CONCATENATE("R1C",'Mapa final'!$Q$13),"")</f>
        <v/>
      </c>
      <c r="AA16" s="48" t="str">
        <f>IF(AND('Mapa final'!$AA$14="Alta",'Mapa final'!$AC$14="Moderado"),CONCATENATE("R1C",'Mapa final'!$Q$14),"")</f>
        <v/>
      </c>
      <c r="AB16" s="46" t="str">
        <f ca="1">IF(AND('Mapa final'!$AA$11="Alta",'Mapa final'!$AC$11="Mayor"),CONCATENATE("R1C",'Mapa final'!$Q$11),"")</f>
        <v/>
      </c>
      <c r="AC16" s="47" t="str">
        <f ca="1">IF(AND('Mapa final'!$AA$12="Alta",'Mapa final'!$AC$12="Mayor"),CONCATENATE("R1C",'Mapa final'!$Q$12),"")</f>
        <v/>
      </c>
      <c r="AD16" s="47" t="e">
        <f>IF(AND('Mapa final'!#REF!="Alta",'Mapa final'!#REF!="Mayor"),CONCATENATE("R1C",'Mapa final'!#REF!),"")</f>
        <v>#REF!</v>
      </c>
      <c r="AE16" s="47" t="e">
        <f>IF(AND('Mapa final'!#REF!="Alta",'Mapa final'!#REF!="Mayor"),CONCATENATE("R1C",'Mapa final'!#REF!),"")</f>
        <v>#REF!</v>
      </c>
      <c r="AF16" s="47" t="str">
        <f>IF(AND('Mapa final'!$AA$13="Alta",'Mapa final'!$AC$13="Mayor"),CONCATENATE("R1C",'Mapa final'!$Q$13),"")</f>
        <v/>
      </c>
      <c r="AG16" s="48" t="str">
        <f>IF(AND('Mapa final'!$AA$14="Alta",'Mapa final'!$AC$14="Mayor"),CONCATENATE("R1C",'Mapa final'!$Q$14),"")</f>
        <v/>
      </c>
      <c r="AH16" s="49" t="str">
        <f ca="1">IF(AND('Mapa final'!$AA$11="Alta",'Mapa final'!$AC$11="Catastrófico"),CONCATENATE("R1C",'Mapa final'!$Q$11),"")</f>
        <v/>
      </c>
      <c r="AI16" s="50" t="str">
        <f ca="1">IF(AND('Mapa final'!$AA$12="Alta",'Mapa final'!$AC$12="Catastrófico"),CONCATENATE("R1C",'Mapa final'!$Q$12),"")</f>
        <v/>
      </c>
      <c r="AJ16" s="50" t="e">
        <f>IF(AND('Mapa final'!#REF!="Alta",'Mapa final'!#REF!="Catastrófico"),CONCATENATE("R1C",'Mapa final'!#REF!),"")</f>
        <v>#REF!</v>
      </c>
      <c r="AK16" s="50" t="e">
        <f>IF(AND('Mapa final'!#REF!="Alta",'Mapa final'!#REF!="Catastrófico"),CONCATENATE("R1C",'Mapa final'!#REF!),"")</f>
        <v>#REF!</v>
      </c>
      <c r="AL16" s="50" t="str">
        <f>IF(AND('Mapa final'!$AA$13="Alta",'Mapa final'!$AC$13="Catastrófico"),CONCATENATE("R1C",'Mapa final'!$Q$13),"")</f>
        <v/>
      </c>
      <c r="AM16" s="51" t="str">
        <f>IF(AND('Mapa final'!$AA$14="Alta",'Mapa final'!$AC$14="Catastrófico"),CONCATENATE("R1C",'Mapa final'!$Q$14),"")</f>
        <v/>
      </c>
      <c r="AN16" s="84"/>
      <c r="AO16" s="370" t="s">
        <v>77</v>
      </c>
      <c r="AP16" s="371"/>
      <c r="AQ16" s="371"/>
      <c r="AR16" s="371"/>
      <c r="AS16" s="371"/>
      <c r="AT16" s="372"/>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2"/>
      <c r="C17" s="282"/>
      <c r="D17" s="283"/>
      <c r="E17" s="381"/>
      <c r="F17" s="382"/>
      <c r="G17" s="382"/>
      <c r="H17" s="382"/>
      <c r="I17" s="382"/>
      <c r="J17" s="68" t="str">
        <f>IF(AND('Mapa final'!$AA$15="Alta",'Mapa final'!$AC$15="Leve"),CONCATENATE("R2C",'Mapa final'!$Q$15),"")</f>
        <v/>
      </c>
      <c r="K17" s="69" t="str">
        <f>IF(AND('Mapa final'!$AA$16="Alta",'Mapa final'!$AC$16="Leve"),CONCATENATE("R2C",'Mapa final'!$Q$16),"")</f>
        <v/>
      </c>
      <c r="L17" s="69" t="str">
        <f>IF(AND('Mapa final'!$AA$17="Alta",'Mapa final'!$AC$17="Leve"),CONCATENATE("R2C",'Mapa final'!$Q$17),"")</f>
        <v/>
      </c>
      <c r="M17" s="69" t="str">
        <f>IF(AND('Mapa final'!$AA$18="Alta",'Mapa final'!$AC$18="Leve"),CONCATENATE("R2C",'Mapa final'!$Q$18),"")</f>
        <v/>
      </c>
      <c r="N17" s="69" t="str">
        <f>IF(AND('Mapa final'!$AA$19="Alta",'Mapa final'!$AC$19="Leve"),CONCATENATE("R2C",'Mapa final'!$Q$19),"")</f>
        <v/>
      </c>
      <c r="O17" s="70" t="str">
        <f>IF(AND('Mapa final'!$AA$20="Alta",'Mapa final'!$AC$20="Leve"),CONCATENATE("R2C",'Mapa final'!$Q$20),"")</f>
        <v/>
      </c>
      <c r="P17" s="68" t="str">
        <f>IF(AND('Mapa final'!$AA$15="Alta",'Mapa final'!$AC$15="Menor"),CONCATENATE("R2C",'Mapa final'!$Q$15),"")</f>
        <v/>
      </c>
      <c r="Q17" s="69" t="str">
        <f>IF(AND('Mapa final'!$AA$16="Alta",'Mapa final'!$AC$16="Menor"),CONCATENATE("R2C",'Mapa final'!$Q$16),"")</f>
        <v/>
      </c>
      <c r="R17" s="69" t="str">
        <f>IF(AND('Mapa final'!$AA$17="Alta",'Mapa final'!$AC$17="Menor"),CONCATENATE("R2C",'Mapa final'!$Q$17),"")</f>
        <v/>
      </c>
      <c r="S17" s="69" t="str">
        <f>IF(AND('Mapa final'!$AA$18="Alta",'Mapa final'!$AC$18="Menor"),CONCATENATE("R2C",'Mapa final'!$Q$18),"")</f>
        <v/>
      </c>
      <c r="T17" s="69" t="str">
        <f>IF(AND('Mapa final'!$AA$19="Alta",'Mapa final'!$AC$19="Menor"),CONCATENATE("R2C",'Mapa final'!$Q$19),"")</f>
        <v/>
      </c>
      <c r="U17" s="70" t="str">
        <f>IF(AND('Mapa final'!$AA$20="Alta",'Mapa final'!$AC$20="Menor"),CONCATENATE("R2C",'Mapa final'!$Q$20),"")</f>
        <v/>
      </c>
      <c r="V17" s="52" t="str">
        <f>IF(AND('Mapa final'!$AA$15="Alta",'Mapa final'!$AC$15="Moderado"),CONCATENATE("R2C",'Mapa final'!$Q$15),"")</f>
        <v/>
      </c>
      <c r="W17" s="53" t="str">
        <f>IF(AND('Mapa final'!$AA$16="Alta",'Mapa final'!$AC$16="Moderado"),CONCATENATE("R2C",'Mapa final'!$Q$16),"")</f>
        <v/>
      </c>
      <c r="X17" s="53" t="str">
        <f>IF(AND('Mapa final'!$AA$17="Alta",'Mapa final'!$AC$17="Moderado"),CONCATENATE("R2C",'Mapa final'!$Q$17),"")</f>
        <v/>
      </c>
      <c r="Y17" s="53" t="str">
        <f>IF(AND('Mapa final'!$AA$18="Alta",'Mapa final'!$AC$18="Moderado"),CONCATENATE("R2C",'Mapa final'!$Q$18),"")</f>
        <v/>
      </c>
      <c r="Z17" s="53" t="str">
        <f>IF(AND('Mapa final'!$AA$19="Alta",'Mapa final'!$AC$19="Moderado"),CONCATENATE("R2C",'Mapa final'!$Q$19),"")</f>
        <v/>
      </c>
      <c r="AA17" s="54" t="str">
        <f>IF(AND('Mapa final'!$AA$20="Alta",'Mapa final'!$AC$20="Moderado"),CONCATENATE("R2C",'Mapa final'!$Q$20),"")</f>
        <v/>
      </c>
      <c r="AB17" s="52" t="str">
        <f>IF(AND('Mapa final'!$AA$15="Alta",'Mapa final'!$AC$15="Mayor"),CONCATENATE("R2C",'Mapa final'!$Q$15),"")</f>
        <v/>
      </c>
      <c r="AC17" s="53" t="str">
        <f>IF(AND('Mapa final'!$AA$16="Alta",'Mapa final'!$AC$16="Mayor"),CONCATENATE("R2C",'Mapa final'!$Q$16),"")</f>
        <v/>
      </c>
      <c r="AD17" s="53" t="str">
        <f>IF(AND('Mapa final'!$AA$17="Alta",'Mapa final'!$AC$17="Mayor"),CONCATENATE("R2C",'Mapa final'!$Q$17),"")</f>
        <v/>
      </c>
      <c r="AE17" s="53" t="str">
        <f>IF(AND('Mapa final'!$AA$18="Alta",'Mapa final'!$AC$18="Mayor"),CONCATENATE("R2C",'Mapa final'!$Q$18),"")</f>
        <v/>
      </c>
      <c r="AF17" s="53" t="str">
        <f>IF(AND('Mapa final'!$AA$19="Alta",'Mapa final'!$AC$19="Mayor"),CONCATENATE("R2C",'Mapa final'!$Q$19),"")</f>
        <v/>
      </c>
      <c r="AG17" s="54" t="str">
        <f>IF(AND('Mapa final'!$AA$20="Alta",'Mapa final'!$AC$20="Mayor"),CONCATENATE("R2C",'Mapa final'!$Q$20),"")</f>
        <v/>
      </c>
      <c r="AH17" s="55" t="str">
        <f>IF(AND('Mapa final'!$AA$15="Alta",'Mapa final'!$AC$15="Catastrófico"),CONCATENATE("R2C",'Mapa final'!$Q$15),"")</f>
        <v/>
      </c>
      <c r="AI17" s="56" t="str">
        <f>IF(AND('Mapa final'!$AA$16="Alta",'Mapa final'!$AC$16="Catastrófico"),CONCATENATE("R2C",'Mapa final'!$Q$16),"")</f>
        <v/>
      </c>
      <c r="AJ17" s="56" t="str">
        <f>IF(AND('Mapa final'!$AA$17="Alta",'Mapa final'!$AC$17="Catastrófico"),CONCATENATE("R2C",'Mapa final'!$Q$17),"")</f>
        <v/>
      </c>
      <c r="AK17" s="56" t="str">
        <f>IF(AND('Mapa final'!$AA$18="Alta",'Mapa final'!$AC$18="Catastrófico"),CONCATENATE("R2C",'Mapa final'!$Q$18),"")</f>
        <v/>
      </c>
      <c r="AL17" s="56" t="str">
        <f>IF(AND('Mapa final'!$AA$19="Alta",'Mapa final'!$AC$19="Catastrófico"),CONCATENATE("R2C",'Mapa final'!$Q$19),"")</f>
        <v/>
      </c>
      <c r="AM17" s="57" t="str">
        <f>IF(AND('Mapa final'!$AA$20="Alta",'Mapa final'!$AC$20="Catastrófico"),CONCATENATE("R2C",'Mapa final'!$Q$20),"")</f>
        <v/>
      </c>
      <c r="AN17" s="84"/>
      <c r="AO17" s="373"/>
      <c r="AP17" s="374"/>
      <c r="AQ17" s="374"/>
      <c r="AR17" s="374"/>
      <c r="AS17" s="374"/>
      <c r="AT17" s="37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2"/>
      <c r="C18" s="282"/>
      <c r="D18" s="283"/>
      <c r="E18" s="383"/>
      <c r="F18" s="384"/>
      <c r="G18" s="384"/>
      <c r="H18" s="384"/>
      <c r="I18" s="382"/>
      <c r="J18" s="68" t="str">
        <f>IF(AND('Mapa final'!$AA$21="Alta",'Mapa final'!$AC$21="Leve"),CONCATENATE("R3C",'Mapa final'!$Q$21),"")</f>
        <v/>
      </c>
      <c r="K18" s="69" t="str">
        <f>IF(AND('Mapa final'!$AA$22="Alta",'Mapa final'!$AC$22="Leve"),CONCATENATE("R3C",'Mapa final'!$Q$22),"")</f>
        <v/>
      </c>
      <c r="L18" s="69" t="str">
        <f>IF(AND('Mapa final'!$AA$23="Alta",'Mapa final'!$AC$23="Leve"),CONCATENATE("R3C",'Mapa final'!$Q$23),"")</f>
        <v/>
      </c>
      <c r="M18" s="69" t="str">
        <f>IF(AND('Mapa final'!$AA$24="Alta",'Mapa final'!$AC$24="Leve"),CONCATENATE("R3C",'Mapa final'!$Q$24),"")</f>
        <v/>
      </c>
      <c r="N18" s="69" t="str">
        <f>IF(AND('Mapa final'!$AA$25="Alta",'Mapa final'!$AC$25="Leve"),CONCATENATE("R3C",'Mapa final'!$Q$25),"")</f>
        <v/>
      </c>
      <c r="O18" s="70" t="str">
        <f>IF(AND('Mapa final'!$AA$26="Alta",'Mapa final'!$AC$26="Leve"),CONCATENATE("R3C",'Mapa final'!$Q$26),"")</f>
        <v/>
      </c>
      <c r="P18" s="68" t="str">
        <f>IF(AND('Mapa final'!$AA$21="Alta",'Mapa final'!$AC$21="Menor"),CONCATENATE("R3C",'Mapa final'!$Q$21),"")</f>
        <v/>
      </c>
      <c r="Q18" s="69" t="str">
        <f>IF(AND('Mapa final'!$AA$22="Alta",'Mapa final'!$AC$22="Menor"),CONCATENATE("R3C",'Mapa final'!$Q$22),"")</f>
        <v/>
      </c>
      <c r="R18" s="69" t="str">
        <f>IF(AND('Mapa final'!$AA$23="Alta",'Mapa final'!$AC$23="Menor"),CONCATENATE("R3C",'Mapa final'!$Q$23),"")</f>
        <v/>
      </c>
      <c r="S18" s="69" t="str">
        <f>IF(AND('Mapa final'!$AA$24="Alta",'Mapa final'!$AC$24="Menor"),CONCATENATE("R3C",'Mapa final'!$Q$24),"")</f>
        <v/>
      </c>
      <c r="T18" s="69" t="str">
        <f>IF(AND('Mapa final'!$AA$25="Alta",'Mapa final'!$AC$25="Menor"),CONCATENATE("R3C",'Mapa final'!$Q$25),"")</f>
        <v/>
      </c>
      <c r="U18" s="70" t="str">
        <f>IF(AND('Mapa final'!$AA$26="Alta",'Mapa final'!$AC$26="Menor"),CONCATENATE("R3C",'Mapa final'!$Q$26),"")</f>
        <v/>
      </c>
      <c r="V18" s="52" t="str">
        <f>IF(AND('Mapa final'!$AA$21="Alta",'Mapa final'!$AC$21="Moderado"),CONCATENATE("R3C",'Mapa final'!$Q$21),"")</f>
        <v/>
      </c>
      <c r="W18" s="53" t="str">
        <f>IF(AND('Mapa final'!$AA$22="Alta",'Mapa final'!$AC$22="Moderado"),CONCATENATE("R3C",'Mapa final'!$Q$22),"")</f>
        <v/>
      </c>
      <c r="X18" s="53" t="str">
        <f>IF(AND('Mapa final'!$AA$23="Alta",'Mapa final'!$AC$23="Moderado"),CONCATENATE("R3C",'Mapa final'!$Q$23),"")</f>
        <v/>
      </c>
      <c r="Y18" s="53" t="str">
        <f>IF(AND('Mapa final'!$AA$24="Alta",'Mapa final'!$AC$24="Moderado"),CONCATENATE("R3C",'Mapa final'!$Q$24),"")</f>
        <v/>
      </c>
      <c r="Z18" s="53" t="str">
        <f>IF(AND('Mapa final'!$AA$25="Alta",'Mapa final'!$AC$25="Moderado"),CONCATENATE("R3C",'Mapa final'!$Q$25),"")</f>
        <v/>
      </c>
      <c r="AA18" s="54" t="str">
        <f>IF(AND('Mapa final'!$AA$26="Alta",'Mapa final'!$AC$26="Moderado"),CONCATENATE("R3C",'Mapa final'!$Q$26),"")</f>
        <v/>
      </c>
      <c r="AB18" s="52" t="str">
        <f>IF(AND('Mapa final'!$AA$21="Alta",'Mapa final'!$AC$21="Mayor"),CONCATENATE("R3C",'Mapa final'!$Q$21),"")</f>
        <v/>
      </c>
      <c r="AC18" s="53" t="str">
        <f>IF(AND('Mapa final'!$AA$22="Alta",'Mapa final'!$AC$22="Mayor"),CONCATENATE("R3C",'Mapa final'!$Q$22),"")</f>
        <v/>
      </c>
      <c r="AD18" s="53" t="str">
        <f>IF(AND('Mapa final'!$AA$23="Alta",'Mapa final'!$AC$23="Mayor"),CONCATENATE("R3C",'Mapa final'!$Q$23),"")</f>
        <v/>
      </c>
      <c r="AE18" s="53" t="str">
        <f>IF(AND('Mapa final'!$AA$24="Alta",'Mapa final'!$AC$24="Mayor"),CONCATENATE("R3C",'Mapa final'!$Q$24),"")</f>
        <v/>
      </c>
      <c r="AF18" s="53" t="str">
        <f>IF(AND('Mapa final'!$AA$25="Alta",'Mapa final'!$AC$25="Mayor"),CONCATENATE("R3C",'Mapa final'!$Q$25),"")</f>
        <v/>
      </c>
      <c r="AG18" s="54" t="str">
        <f>IF(AND('Mapa final'!$AA$26="Alta",'Mapa final'!$AC$26="Mayor"),CONCATENATE("R3C",'Mapa final'!$Q$26),"")</f>
        <v/>
      </c>
      <c r="AH18" s="55" t="str">
        <f>IF(AND('Mapa final'!$AA$21="Alta",'Mapa final'!$AC$21="Catastrófico"),CONCATENATE("R3C",'Mapa final'!$Q$21),"")</f>
        <v/>
      </c>
      <c r="AI18" s="56" t="str">
        <f>IF(AND('Mapa final'!$AA$22="Alta",'Mapa final'!$AC$22="Catastrófico"),CONCATENATE("R3C",'Mapa final'!$Q$22),"")</f>
        <v/>
      </c>
      <c r="AJ18" s="56" t="str">
        <f>IF(AND('Mapa final'!$AA$23="Alta",'Mapa final'!$AC$23="Catastrófico"),CONCATENATE("R3C",'Mapa final'!$Q$23),"")</f>
        <v/>
      </c>
      <c r="AK18" s="56" t="str">
        <f>IF(AND('Mapa final'!$AA$24="Alta",'Mapa final'!$AC$24="Catastrófico"),CONCATENATE("R3C",'Mapa final'!$Q$24),"")</f>
        <v/>
      </c>
      <c r="AL18" s="56" t="str">
        <f>IF(AND('Mapa final'!$AA$25="Alta",'Mapa final'!$AC$25="Catastrófico"),CONCATENATE("R3C",'Mapa final'!$Q$25),"")</f>
        <v/>
      </c>
      <c r="AM18" s="57" t="str">
        <f>IF(AND('Mapa final'!$AA$26="Alta",'Mapa final'!$AC$26="Catastrófico"),CONCATENATE("R3C",'Mapa final'!$Q$26),"")</f>
        <v/>
      </c>
      <c r="AN18" s="84"/>
      <c r="AO18" s="373"/>
      <c r="AP18" s="374"/>
      <c r="AQ18" s="374"/>
      <c r="AR18" s="374"/>
      <c r="AS18" s="374"/>
      <c r="AT18" s="37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2"/>
      <c r="C19" s="282"/>
      <c r="D19" s="283"/>
      <c r="E19" s="383"/>
      <c r="F19" s="384"/>
      <c r="G19" s="384"/>
      <c r="H19" s="384"/>
      <c r="I19" s="382"/>
      <c r="J19" s="68" t="str">
        <f>IF(AND('Mapa final'!$AA$27="Alta",'Mapa final'!$AC$27="Leve"),CONCATENATE("R4C",'Mapa final'!$Q$27),"")</f>
        <v/>
      </c>
      <c r="K19" s="69" t="str">
        <f>IF(AND('Mapa final'!$AA$28="Alta",'Mapa final'!$AC$28="Leve"),CONCATENATE("R4C",'Mapa final'!$Q$28),"")</f>
        <v/>
      </c>
      <c r="L19" s="69" t="str">
        <f>IF(AND('Mapa final'!$AA$29="Alta",'Mapa final'!$AC$29="Leve"),CONCATENATE("R4C",'Mapa final'!$Q$29),"")</f>
        <v/>
      </c>
      <c r="M19" s="69" t="str">
        <f>IF(AND('Mapa final'!$AA$30="Alta",'Mapa final'!$AC$30="Leve"),CONCATENATE("R4C",'Mapa final'!$Q$30),"")</f>
        <v/>
      </c>
      <c r="N19" s="69" t="str">
        <f>IF(AND('Mapa final'!$AA$31="Alta",'Mapa final'!$AC$31="Leve"),CONCATENATE("R4C",'Mapa final'!$Q$31),"")</f>
        <v/>
      </c>
      <c r="O19" s="70" t="str">
        <f>IF(AND('Mapa final'!$AA$32="Alta",'Mapa final'!$AC$32="Leve"),CONCATENATE("R4C",'Mapa final'!$Q$32),"")</f>
        <v/>
      </c>
      <c r="P19" s="68" t="str">
        <f>IF(AND('Mapa final'!$AA$27="Alta",'Mapa final'!$AC$27="Menor"),CONCATENATE("R4C",'Mapa final'!$Q$27),"")</f>
        <v/>
      </c>
      <c r="Q19" s="69" t="str">
        <f>IF(AND('Mapa final'!$AA$28="Alta",'Mapa final'!$AC$28="Menor"),CONCATENATE("R4C",'Mapa final'!$Q$28),"")</f>
        <v/>
      </c>
      <c r="R19" s="69" t="str">
        <f>IF(AND('Mapa final'!$AA$29="Alta",'Mapa final'!$AC$29="Menor"),CONCATENATE("R4C",'Mapa final'!$Q$29),"")</f>
        <v/>
      </c>
      <c r="S19" s="69" t="str">
        <f>IF(AND('Mapa final'!$AA$30="Alta",'Mapa final'!$AC$30="Menor"),CONCATENATE("R4C",'Mapa final'!$Q$30),"")</f>
        <v/>
      </c>
      <c r="T19" s="69" t="str">
        <f>IF(AND('Mapa final'!$AA$31="Alta",'Mapa final'!$AC$31="Menor"),CONCATENATE("R4C",'Mapa final'!$Q$31),"")</f>
        <v/>
      </c>
      <c r="U19" s="70" t="str">
        <f>IF(AND('Mapa final'!$AA$32="Alta",'Mapa final'!$AC$32="Menor"),CONCATENATE("R4C",'Mapa final'!$Q$32),"")</f>
        <v/>
      </c>
      <c r="V19" s="52" t="str">
        <f>IF(AND('Mapa final'!$AA$27="Alta",'Mapa final'!$AC$27="Moderado"),CONCATENATE("R4C",'Mapa final'!$Q$27),"")</f>
        <v/>
      </c>
      <c r="W19" s="53" t="str">
        <f>IF(AND('Mapa final'!$AA$28="Alta",'Mapa final'!$AC$28="Moderado"),CONCATENATE("R4C",'Mapa final'!$Q$28),"")</f>
        <v/>
      </c>
      <c r="X19" s="58" t="str">
        <f>IF(AND('Mapa final'!$AA$29="Alta",'Mapa final'!$AC$29="Moderado"),CONCATENATE("R4C",'Mapa final'!$Q$29),"")</f>
        <v/>
      </c>
      <c r="Y19" s="58" t="str">
        <f>IF(AND('Mapa final'!$AA$30="Alta",'Mapa final'!$AC$30="Moderado"),CONCATENATE("R4C",'Mapa final'!$Q$30),"")</f>
        <v/>
      </c>
      <c r="Z19" s="58" t="str">
        <f>IF(AND('Mapa final'!$AA$31="Alta",'Mapa final'!$AC$31="Moderado"),CONCATENATE("R4C",'Mapa final'!$Q$31),"")</f>
        <v/>
      </c>
      <c r="AA19" s="54" t="str">
        <f>IF(AND('Mapa final'!$AA$32="Alta",'Mapa final'!$AC$32="Moderado"),CONCATENATE("R4C",'Mapa final'!$Q$32),"")</f>
        <v/>
      </c>
      <c r="AB19" s="52" t="str">
        <f>IF(AND('Mapa final'!$AA$27="Alta",'Mapa final'!$AC$27="Mayor"),CONCATENATE("R4C",'Mapa final'!$Q$27),"")</f>
        <v/>
      </c>
      <c r="AC19" s="53" t="str">
        <f>IF(AND('Mapa final'!$AA$28="Alta",'Mapa final'!$AC$28="Mayor"),CONCATENATE("R4C",'Mapa final'!$Q$28),"")</f>
        <v/>
      </c>
      <c r="AD19" s="58" t="str">
        <f>IF(AND('Mapa final'!$AA$29="Alta",'Mapa final'!$AC$29="Mayor"),CONCATENATE("R4C",'Mapa final'!$Q$29),"")</f>
        <v/>
      </c>
      <c r="AE19" s="58" t="str">
        <f>IF(AND('Mapa final'!$AA$30="Alta",'Mapa final'!$AC$30="Mayor"),CONCATENATE("R4C",'Mapa final'!$Q$30),"")</f>
        <v/>
      </c>
      <c r="AF19" s="58" t="str">
        <f>IF(AND('Mapa final'!$AA$31="Alta",'Mapa final'!$AC$31="Mayor"),CONCATENATE("R4C",'Mapa final'!$Q$31),"")</f>
        <v/>
      </c>
      <c r="AG19" s="54" t="str">
        <f>IF(AND('Mapa final'!$AA$32="Alta",'Mapa final'!$AC$32="Mayor"),CONCATENATE("R4C",'Mapa final'!$Q$32),"")</f>
        <v/>
      </c>
      <c r="AH19" s="55" t="str">
        <f>IF(AND('Mapa final'!$AA$27="Alta",'Mapa final'!$AC$27="Catastrófico"),CONCATENATE("R4C",'Mapa final'!$Q$27),"")</f>
        <v/>
      </c>
      <c r="AI19" s="56" t="str">
        <f>IF(AND('Mapa final'!$AA$28="Alta",'Mapa final'!$AC$28="Catastrófico"),CONCATENATE("R4C",'Mapa final'!$Q$28),"")</f>
        <v/>
      </c>
      <c r="AJ19" s="56" t="str">
        <f>IF(AND('Mapa final'!$AA$29="Alta",'Mapa final'!$AC$29="Catastrófico"),CONCATENATE("R4C",'Mapa final'!$Q$29),"")</f>
        <v/>
      </c>
      <c r="AK19" s="56" t="str">
        <f>IF(AND('Mapa final'!$AA$30="Alta",'Mapa final'!$AC$30="Catastrófico"),CONCATENATE("R4C",'Mapa final'!$Q$30),"")</f>
        <v/>
      </c>
      <c r="AL19" s="56" t="str">
        <f>IF(AND('Mapa final'!$AA$31="Alta",'Mapa final'!$AC$31="Catastrófico"),CONCATENATE("R4C",'Mapa final'!$Q$31),"")</f>
        <v/>
      </c>
      <c r="AM19" s="57" t="str">
        <f>IF(AND('Mapa final'!$AA$32="Alta",'Mapa final'!$AC$32="Catastrófico"),CONCATENATE("R4C",'Mapa final'!$Q$32),"")</f>
        <v/>
      </c>
      <c r="AN19" s="84"/>
      <c r="AO19" s="373"/>
      <c r="AP19" s="374"/>
      <c r="AQ19" s="374"/>
      <c r="AR19" s="374"/>
      <c r="AS19" s="374"/>
      <c r="AT19" s="37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2"/>
      <c r="C20" s="282"/>
      <c r="D20" s="283"/>
      <c r="E20" s="383"/>
      <c r="F20" s="384"/>
      <c r="G20" s="384"/>
      <c r="H20" s="384"/>
      <c r="I20" s="382"/>
      <c r="J20" s="68" t="str">
        <f>IF(AND('Mapa final'!$AA$33="Alta",'Mapa final'!$AC$33="Leve"),CONCATENATE("R5C",'Mapa final'!$Q$33),"")</f>
        <v/>
      </c>
      <c r="K20" s="69" t="str">
        <f>IF(AND('Mapa final'!$AA$34="Alta",'Mapa final'!$AC$34="Leve"),CONCATENATE("R5C",'Mapa final'!$Q$34),"")</f>
        <v/>
      </c>
      <c r="L20" s="69" t="str">
        <f>IF(AND('Mapa final'!$AA$35="Alta",'Mapa final'!$AC$35="Leve"),CONCATENATE("R5C",'Mapa final'!$Q$35),"")</f>
        <v/>
      </c>
      <c r="M20" s="69" t="str">
        <f>IF(AND('Mapa final'!$AA$36="Alta",'Mapa final'!$AC$36="Leve"),CONCATENATE("R5C",'Mapa final'!$Q$36),"")</f>
        <v/>
      </c>
      <c r="N20" s="69" t="str">
        <f>IF(AND('Mapa final'!$AA$37="Alta",'Mapa final'!$AC$37="Leve"),CONCATENATE("R5C",'Mapa final'!$Q$37),"")</f>
        <v/>
      </c>
      <c r="O20" s="70" t="str">
        <f>IF(AND('Mapa final'!$AA$38="Alta",'Mapa final'!$AC$38="Leve"),CONCATENATE("R5C",'Mapa final'!$Q$38),"")</f>
        <v/>
      </c>
      <c r="P20" s="68" t="str">
        <f>IF(AND('Mapa final'!$AA$33="Alta",'Mapa final'!$AC$33="Menor"),CONCATENATE("R5C",'Mapa final'!$Q$33),"")</f>
        <v/>
      </c>
      <c r="Q20" s="69" t="str">
        <f>IF(AND('Mapa final'!$AA$34="Alta",'Mapa final'!$AC$34="Menor"),CONCATENATE("R5C",'Mapa final'!$Q$34),"")</f>
        <v/>
      </c>
      <c r="R20" s="69" t="str">
        <f>IF(AND('Mapa final'!$AA$35="Alta",'Mapa final'!$AC$35="Menor"),CONCATENATE("R5C",'Mapa final'!$Q$35),"")</f>
        <v/>
      </c>
      <c r="S20" s="69" t="str">
        <f>IF(AND('Mapa final'!$AA$36="Alta",'Mapa final'!$AC$36="Menor"),CONCATENATE("R5C",'Mapa final'!$Q$36),"")</f>
        <v/>
      </c>
      <c r="T20" s="69" t="str">
        <f>IF(AND('Mapa final'!$AA$37="Alta",'Mapa final'!$AC$37="Menor"),CONCATENATE("R5C",'Mapa final'!$Q$37),"")</f>
        <v/>
      </c>
      <c r="U20" s="70" t="str">
        <f>IF(AND('Mapa final'!$AA$38="Alta",'Mapa final'!$AC$38="Menor"),CONCATENATE("R5C",'Mapa final'!$Q$38),"")</f>
        <v/>
      </c>
      <c r="V20" s="52" t="str">
        <f>IF(AND('Mapa final'!$AA$33="Alta",'Mapa final'!$AC$33="Moderado"),CONCATENATE("R5C",'Mapa final'!$Q$33),"")</f>
        <v/>
      </c>
      <c r="W20" s="53" t="str">
        <f>IF(AND('Mapa final'!$AA$34="Alta",'Mapa final'!$AC$34="Moderado"),CONCATENATE("R5C",'Mapa final'!$Q$34),"")</f>
        <v/>
      </c>
      <c r="X20" s="58" t="str">
        <f>IF(AND('Mapa final'!$AA$35="Alta",'Mapa final'!$AC$35="Moderado"),CONCATENATE("R5C",'Mapa final'!$Q$35),"")</f>
        <v/>
      </c>
      <c r="Y20" s="58" t="str">
        <f>IF(AND('Mapa final'!$AA$36="Alta",'Mapa final'!$AC$36="Moderado"),CONCATENATE("R5C",'Mapa final'!$Q$36),"")</f>
        <v/>
      </c>
      <c r="Z20" s="58" t="str">
        <f>IF(AND('Mapa final'!$AA$37="Alta",'Mapa final'!$AC$37="Moderado"),CONCATENATE("R5C",'Mapa final'!$Q$37),"")</f>
        <v/>
      </c>
      <c r="AA20" s="54" t="str">
        <f>IF(AND('Mapa final'!$AA$38="Alta",'Mapa final'!$AC$38="Moderado"),CONCATENATE("R5C",'Mapa final'!$Q$38),"")</f>
        <v/>
      </c>
      <c r="AB20" s="52" t="str">
        <f>IF(AND('Mapa final'!$AA$33="Alta",'Mapa final'!$AC$33="Mayor"),CONCATENATE("R5C",'Mapa final'!$Q$33),"")</f>
        <v/>
      </c>
      <c r="AC20" s="53" t="str">
        <f>IF(AND('Mapa final'!$AA$34="Alta",'Mapa final'!$AC$34="Mayor"),CONCATENATE("R5C",'Mapa final'!$Q$34),"")</f>
        <v/>
      </c>
      <c r="AD20" s="58" t="str">
        <f>IF(AND('Mapa final'!$AA$35="Alta",'Mapa final'!$AC$35="Mayor"),CONCATENATE("R5C",'Mapa final'!$Q$35),"")</f>
        <v/>
      </c>
      <c r="AE20" s="58" t="str">
        <f>IF(AND('Mapa final'!$AA$36="Alta",'Mapa final'!$AC$36="Mayor"),CONCATENATE("R5C",'Mapa final'!$Q$36),"")</f>
        <v/>
      </c>
      <c r="AF20" s="58" t="str">
        <f>IF(AND('Mapa final'!$AA$37="Alta",'Mapa final'!$AC$37="Mayor"),CONCATENATE("R5C",'Mapa final'!$Q$37),"")</f>
        <v/>
      </c>
      <c r="AG20" s="54" t="str">
        <f>IF(AND('Mapa final'!$AA$38="Alta",'Mapa final'!$AC$38="Mayor"),CONCATENATE("R5C",'Mapa final'!$Q$38),"")</f>
        <v/>
      </c>
      <c r="AH20" s="55" t="str">
        <f>IF(AND('Mapa final'!$AA$33="Alta",'Mapa final'!$AC$33="Catastrófico"),CONCATENATE("R5C",'Mapa final'!$Q$33),"")</f>
        <v/>
      </c>
      <c r="AI20" s="56" t="str">
        <f>IF(AND('Mapa final'!$AA$34="Alta",'Mapa final'!$AC$34="Catastrófico"),CONCATENATE("R5C",'Mapa final'!$Q$34),"")</f>
        <v/>
      </c>
      <c r="AJ20" s="56" t="str">
        <f>IF(AND('Mapa final'!$AA$35="Alta",'Mapa final'!$AC$35="Catastrófico"),CONCATENATE("R5C",'Mapa final'!$Q$35),"")</f>
        <v/>
      </c>
      <c r="AK20" s="56" t="str">
        <f>IF(AND('Mapa final'!$AA$36="Alta",'Mapa final'!$AC$36="Catastrófico"),CONCATENATE("R5C",'Mapa final'!$Q$36),"")</f>
        <v/>
      </c>
      <c r="AL20" s="56" t="str">
        <f>IF(AND('Mapa final'!$AA$37="Alta",'Mapa final'!$AC$37="Catastrófico"),CONCATENATE("R5C",'Mapa final'!$Q$37),"")</f>
        <v/>
      </c>
      <c r="AM20" s="57" t="str">
        <f>IF(AND('Mapa final'!$AA$38="Alta",'Mapa final'!$AC$38="Catastrófico"),CONCATENATE("R5C",'Mapa final'!$Q$38),"")</f>
        <v/>
      </c>
      <c r="AN20" s="84"/>
      <c r="AO20" s="373"/>
      <c r="AP20" s="374"/>
      <c r="AQ20" s="374"/>
      <c r="AR20" s="374"/>
      <c r="AS20" s="374"/>
      <c r="AT20" s="37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2"/>
      <c r="C21" s="282"/>
      <c r="D21" s="283"/>
      <c r="E21" s="383"/>
      <c r="F21" s="384"/>
      <c r="G21" s="384"/>
      <c r="H21" s="384"/>
      <c r="I21" s="382"/>
      <c r="J21" s="68" t="str">
        <f>IF(AND('Mapa final'!$AA$39="Alta",'Mapa final'!$AC$39="Leve"),CONCATENATE("R6C",'Mapa final'!$Q$39),"")</f>
        <v/>
      </c>
      <c r="K21" s="69" t="str">
        <f>IF(AND('Mapa final'!$AA$40="Alta",'Mapa final'!$AC$40="Leve"),CONCATENATE("R6C",'Mapa final'!$Q$40),"")</f>
        <v/>
      </c>
      <c r="L21" s="69" t="str">
        <f>IF(AND('Mapa final'!$AA$41="Alta",'Mapa final'!$AC$41="Leve"),CONCATENATE("R6C",'Mapa final'!$Q$41),"")</f>
        <v/>
      </c>
      <c r="M21" s="69" t="str">
        <f>IF(AND('Mapa final'!$AA$42="Alta",'Mapa final'!$AC$42="Leve"),CONCATENATE("R6C",'Mapa final'!$Q$42),"")</f>
        <v/>
      </c>
      <c r="N21" s="69" t="str">
        <f>IF(AND('Mapa final'!$AA$43="Alta",'Mapa final'!$AC$43="Leve"),CONCATENATE("R6C",'Mapa final'!$Q$43),"")</f>
        <v/>
      </c>
      <c r="O21" s="70" t="str">
        <f>IF(AND('Mapa final'!$AA$44="Alta",'Mapa final'!$AC$44="Leve"),CONCATENATE("R6C",'Mapa final'!$Q$44),"")</f>
        <v/>
      </c>
      <c r="P21" s="68" t="str">
        <f>IF(AND('Mapa final'!$AA$39="Alta",'Mapa final'!$AC$39="Menor"),CONCATENATE("R6C",'Mapa final'!$Q$39),"")</f>
        <v/>
      </c>
      <c r="Q21" s="69" t="str">
        <f>IF(AND('Mapa final'!$AA$40="Alta",'Mapa final'!$AC$40="Menor"),CONCATENATE("R6C",'Mapa final'!$Q$40),"")</f>
        <v/>
      </c>
      <c r="R21" s="69" t="str">
        <f>IF(AND('Mapa final'!$AA$41="Alta",'Mapa final'!$AC$41="Menor"),CONCATENATE("R6C",'Mapa final'!$Q$41),"")</f>
        <v/>
      </c>
      <c r="S21" s="69" t="str">
        <f>IF(AND('Mapa final'!$AA$42="Alta",'Mapa final'!$AC$42="Menor"),CONCATENATE("R6C",'Mapa final'!$Q$42),"")</f>
        <v/>
      </c>
      <c r="T21" s="69" t="str">
        <f>IF(AND('Mapa final'!$AA$43="Alta",'Mapa final'!$AC$43="Menor"),CONCATENATE("R6C",'Mapa final'!$Q$43),"")</f>
        <v/>
      </c>
      <c r="U21" s="70" t="str">
        <f>IF(AND('Mapa final'!$AA$44="Alta",'Mapa final'!$AC$44="Menor"),CONCATENATE("R6C",'Mapa final'!$Q$44),"")</f>
        <v/>
      </c>
      <c r="V21" s="52" t="str">
        <f>IF(AND('Mapa final'!$AA$39="Alta",'Mapa final'!$AC$39="Moderado"),CONCATENATE("R6C",'Mapa final'!$Q$39),"")</f>
        <v/>
      </c>
      <c r="W21" s="53" t="str">
        <f>IF(AND('Mapa final'!$AA$40="Alta",'Mapa final'!$AC$40="Moderado"),CONCATENATE("R6C",'Mapa final'!$Q$40),"")</f>
        <v/>
      </c>
      <c r="X21" s="58" t="str">
        <f>IF(AND('Mapa final'!$AA$41="Alta",'Mapa final'!$AC$41="Moderado"),CONCATENATE("R6C",'Mapa final'!$Q$41),"")</f>
        <v/>
      </c>
      <c r="Y21" s="58" t="str">
        <f>IF(AND('Mapa final'!$AA$42="Alta",'Mapa final'!$AC$42="Moderado"),CONCATENATE("R6C",'Mapa final'!$Q$42),"")</f>
        <v/>
      </c>
      <c r="Z21" s="58" t="str">
        <f>IF(AND('Mapa final'!$AA$43="Alta",'Mapa final'!$AC$43="Moderado"),CONCATENATE("R6C",'Mapa final'!$Q$43),"")</f>
        <v/>
      </c>
      <c r="AA21" s="54" t="str">
        <f>IF(AND('Mapa final'!$AA$44="Alta",'Mapa final'!$AC$44="Moderado"),CONCATENATE("R6C",'Mapa final'!$Q$44),"")</f>
        <v/>
      </c>
      <c r="AB21" s="52" t="str">
        <f>IF(AND('Mapa final'!$AA$39="Alta",'Mapa final'!$AC$39="Mayor"),CONCATENATE("R6C",'Mapa final'!$Q$39),"")</f>
        <v/>
      </c>
      <c r="AC21" s="53" t="str">
        <f>IF(AND('Mapa final'!$AA$40="Alta",'Mapa final'!$AC$40="Mayor"),CONCATENATE("R6C",'Mapa final'!$Q$40),"")</f>
        <v/>
      </c>
      <c r="AD21" s="58" t="str">
        <f>IF(AND('Mapa final'!$AA$41="Alta",'Mapa final'!$AC$41="Mayor"),CONCATENATE("R6C",'Mapa final'!$Q$41),"")</f>
        <v/>
      </c>
      <c r="AE21" s="58" t="str">
        <f>IF(AND('Mapa final'!$AA$42="Alta",'Mapa final'!$AC$42="Mayor"),CONCATENATE("R6C",'Mapa final'!$Q$42),"")</f>
        <v/>
      </c>
      <c r="AF21" s="58" t="str">
        <f>IF(AND('Mapa final'!$AA$43="Alta",'Mapa final'!$AC$43="Mayor"),CONCATENATE("R6C",'Mapa final'!$Q$43),"")</f>
        <v/>
      </c>
      <c r="AG21" s="54" t="str">
        <f>IF(AND('Mapa final'!$AA$44="Alta",'Mapa final'!$AC$44="Mayor"),CONCATENATE("R6C",'Mapa final'!$Q$44),"")</f>
        <v/>
      </c>
      <c r="AH21" s="55" t="str">
        <f>IF(AND('Mapa final'!$AA$39="Alta",'Mapa final'!$AC$39="Catastrófico"),CONCATENATE("R6C",'Mapa final'!$Q$39),"")</f>
        <v/>
      </c>
      <c r="AI21" s="56" t="str">
        <f>IF(AND('Mapa final'!$AA$40="Alta",'Mapa final'!$AC$40="Catastrófico"),CONCATENATE("R6C",'Mapa final'!$Q$40),"")</f>
        <v/>
      </c>
      <c r="AJ21" s="56" t="str">
        <f>IF(AND('Mapa final'!$AA$41="Alta",'Mapa final'!$AC$41="Catastrófico"),CONCATENATE("R6C",'Mapa final'!$Q$41),"")</f>
        <v/>
      </c>
      <c r="AK21" s="56" t="str">
        <f>IF(AND('Mapa final'!$AA$42="Alta",'Mapa final'!$AC$42="Catastrófico"),CONCATENATE("R6C",'Mapa final'!$Q$42),"")</f>
        <v/>
      </c>
      <c r="AL21" s="56" t="str">
        <f>IF(AND('Mapa final'!$AA$43="Alta",'Mapa final'!$AC$43="Catastrófico"),CONCATENATE("R6C",'Mapa final'!$Q$43),"")</f>
        <v/>
      </c>
      <c r="AM21" s="57" t="str">
        <f>IF(AND('Mapa final'!$AA$44="Alta",'Mapa final'!$AC$44="Catastrófico"),CONCATENATE("R6C",'Mapa final'!$Q$44),"")</f>
        <v/>
      </c>
      <c r="AN21" s="84"/>
      <c r="AO21" s="373"/>
      <c r="AP21" s="374"/>
      <c r="AQ21" s="374"/>
      <c r="AR21" s="374"/>
      <c r="AS21" s="374"/>
      <c r="AT21" s="375"/>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2"/>
      <c r="C22" s="282"/>
      <c r="D22" s="283"/>
      <c r="E22" s="383"/>
      <c r="F22" s="384"/>
      <c r="G22" s="384"/>
      <c r="H22" s="384"/>
      <c r="I22" s="382"/>
      <c r="J22" s="68" t="str">
        <f>IF(AND('Mapa final'!$AA$45="Alta",'Mapa final'!$AC$45="Leve"),CONCATENATE("R7C",'Mapa final'!$Q$45),"")</f>
        <v/>
      </c>
      <c r="K22" s="69" t="str">
        <f>IF(AND('Mapa final'!$AA$46="Alta",'Mapa final'!$AC$46="Leve"),CONCATENATE("R7C",'Mapa final'!$Q$46),"")</f>
        <v/>
      </c>
      <c r="L22" s="69" t="str">
        <f>IF(AND('Mapa final'!$AA$47="Alta",'Mapa final'!$AC$47="Leve"),CONCATENATE("R7C",'Mapa final'!$Q$47),"")</f>
        <v/>
      </c>
      <c r="M22" s="69" t="str">
        <f>IF(AND('Mapa final'!$AA$48="Alta",'Mapa final'!$AC$48="Leve"),CONCATENATE("R7C",'Mapa final'!$Q$48),"")</f>
        <v/>
      </c>
      <c r="N22" s="69" t="str">
        <f>IF(AND('Mapa final'!$AA$49="Alta",'Mapa final'!$AC$49="Leve"),CONCATENATE("R7C",'Mapa final'!$Q$49),"")</f>
        <v/>
      </c>
      <c r="O22" s="70" t="str">
        <f>IF(AND('Mapa final'!$AA$50="Alta",'Mapa final'!$AC$50="Leve"),CONCATENATE("R7C",'Mapa final'!$Q$50),"")</f>
        <v/>
      </c>
      <c r="P22" s="68" t="str">
        <f>IF(AND('Mapa final'!$AA$45="Alta",'Mapa final'!$AC$45="Menor"),CONCATENATE("R7C",'Mapa final'!$Q$45),"")</f>
        <v/>
      </c>
      <c r="Q22" s="69" t="str">
        <f>IF(AND('Mapa final'!$AA$46="Alta",'Mapa final'!$AC$46="Menor"),CONCATENATE("R7C",'Mapa final'!$Q$46),"")</f>
        <v/>
      </c>
      <c r="R22" s="69" t="str">
        <f>IF(AND('Mapa final'!$AA$47="Alta",'Mapa final'!$AC$47="Menor"),CONCATENATE("R7C",'Mapa final'!$Q$47),"")</f>
        <v/>
      </c>
      <c r="S22" s="69" t="str">
        <f>IF(AND('Mapa final'!$AA$48="Alta",'Mapa final'!$AC$48="Menor"),CONCATENATE("R7C",'Mapa final'!$Q$48),"")</f>
        <v/>
      </c>
      <c r="T22" s="69" t="str">
        <f>IF(AND('Mapa final'!$AA$49="Alta",'Mapa final'!$AC$49="Menor"),CONCATENATE("R7C",'Mapa final'!$Q$49),"")</f>
        <v/>
      </c>
      <c r="U22" s="70" t="str">
        <f>IF(AND('Mapa final'!$AA$50="Alta",'Mapa final'!$AC$50="Menor"),CONCATENATE("R7C",'Mapa final'!$Q$50),"")</f>
        <v/>
      </c>
      <c r="V22" s="52" t="str">
        <f>IF(AND('Mapa final'!$AA$45="Alta",'Mapa final'!$AC$45="Moderado"),CONCATENATE("R7C",'Mapa final'!$Q$45),"")</f>
        <v/>
      </c>
      <c r="W22" s="53" t="str">
        <f>IF(AND('Mapa final'!$AA$46="Alta",'Mapa final'!$AC$46="Moderado"),CONCATENATE("R7C",'Mapa final'!$Q$46),"")</f>
        <v/>
      </c>
      <c r="X22" s="58" t="str">
        <f>IF(AND('Mapa final'!$AA$47="Alta",'Mapa final'!$AC$47="Moderado"),CONCATENATE("R7C",'Mapa final'!$Q$47),"")</f>
        <v/>
      </c>
      <c r="Y22" s="58" t="str">
        <f>IF(AND('Mapa final'!$AA$48="Alta",'Mapa final'!$AC$48="Moderado"),CONCATENATE("R7C",'Mapa final'!$Q$48),"")</f>
        <v/>
      </c>
      <c r="Z22" s="58" t="str">
        <f>IF(AND('Mapa final'!$AA$49="Alta",'Mapa final'!$AC$49="Moderado"),CONCATENATE("R7C",'Mapa final'!$Q$49),"")</f>
        <v/>
      </c>
      <c r="AA22" s="54" t="str">
        <f>IF(AND('Mapa final'!$AA$50="Alta",'Mapa final'!$AC$50="Moderado"),CONCATENATE("R7C",'Mapa final'!$Q$50),"")</f>
        <v/>
      </c>
      <c r="AB22" s="52" t="str">
        <f>IF(AND('Mapa final'!$AA$45="Alta",'Mapa final'!$AC$45="Mayor"),CONCATENATE("R7C",'Mapa final'!$Q$45),"")</f>
        <v/>
      </c>
      <c r="AC22" s="53" t="str">
        <f>IF(AND('Mapa final'!$AA$46="Alta",'Mapa final'!$AC$46="Mayor"),CONCATENATE("R7C",'Mapa final'!$Q$46),"")</f>
        <v/>
      </c>
      <c r="AD22" s="58" t="str">
        <f>IF(AND('Mapa final'!$AA$47="Alta",'Mapa final'!$AC$47="Mayor"),CONCATENATE("R7C",'Mapa final'!$Q$47),"")</f>
        <v/>
      </c>
      <c r="AE22" s="58" t="str">
        <f>IF(AND('Mapa final'!$AA$48="Alta",'Mapa final'!$AC$48="Mayor"),CONCATENATE("R7C",'Mapa final'!$Q$48),"")</f>
        <v/>
      </c>
      <c r="AF22" s="58" t="str">
        <f>IF(AND('Mapa final'!$AA$49="Alta",'Mapa final'!$AC$49="Mayor"),CONCATENATE("R7C",'Mapa final'!$Q$49),"")</f>
        <v/>
      </c>
      <c r="AG22" s="54" t="str">
        <f>IF(AND('Mapa final'!$AA$50="Alta",'Mapa final'!$AC$50="Mayor"),CONCATENATE("R7C",'Mapa final'!$Q$50),"")</f>
        <v/>
      </c>
      <c r="AH22" s="55" t="str">
        <f>IF(AND('Mapa final'!$AA$45="Alta",'Mapa final'!$AC$45="Catastrófico"),CONCATENATE("R7C",'Mapa final'!$Q$45),"")</f>
        <v/>
      </c>
      <c r="AI22" s="56" t="str">
        <f>IF(AND('Mapa final'!$AA$46="Alta",'Mapa final'!$AC$46="Catastrófico"),CONCATENATE("R7C",'Mapa final'!$Q$46),"")</f>
        <v/>
      </c>
      <c r="AJ22" s="56" t="str">
        <f>IF(AND('Mapa final'!$AA$47="Alta",'Mapa final'!$AC$47="Catastrófico"),CONCATENATE("R7C",'Mapa final'!$Q$47),"")</f>
        <v/>
      </c>
      <c r="AK22" s="56" t="str">
        <f>IF(AND('Mapa final'!$AA$48="Alta",'Mapa final'!$AC$48="Catastrófico"),CONCATENATE("R7C",'Mapa final'!$Q$48),"")</f>
        <v/>
      </c>
      <c r="AL22" s="56" t="str">
        <f>IF(AND('Mapa final'!$AA$49="Alta",'Mapa final'!$AC$49="Catastrófico"),CONCATENATE("R7C",'Mapa final'!$Q$49),"")</f>
        <v/>
      </c>
      <c r="AM22" s="57" t="str">
        <f>IF(AND('Mapa final'!$AA$50="Alta",'Mapa final'!$AC$50="Catastrófico"),CONCATENATE("R7C",'Mapa final'!$Q$50),"")</f>
        <v/>
      </c>
      <c r="AN22" s="84"/>
      <c r="AO22" s="373"/>
      <c r="AP22" s="374"/>
      <c r="AQ22" s="374"/>
      <c r="AR22" s="374"/>
      <c r="AS22" s="374"/>
      <c r="AT22" s="375"/>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2"/>
      <c r="C23" s="282"/>
      <c r="D23" s="283"/>
      <c r="E23" s="383"/>
      <c r="F23" s="384"/>
      <c r="G23" s="384"/>
      <c r="H23" s="384"/>
      <c r="I23" s="382"/>
      <c r="J23" s="68" t="str">
        <f>IF(AND('Mapa final'!$AA$51="Alta",'Mapa final'!$AC$51="Leve"),CONCATENATE("R8C",'Mapa final'!$Q$51),"")</f>
        <v/>
      </c>
      <c r="K23" s="69" t="str">
        <f>IF(AND('Mapa final'!$AA$52="Alta",'Mapa final'!$AC$52="Leve"),CONCATENATE("R8C",'Mapa final'!$Q$52),"")</f>
        <v/>
      </c>
      <c r="L23" s="69" t="str">
        <f>IF(AND('Mapa final'!$AA$53="Alta",'Mapa final'!$AC$53="Leve"),CONCATENATE("R8C",'Mapa final'!$Q$53),"")</f>
        <v/>
      </c>
      <c r="M23" s="69" t="str">
        <f>IF(AND('Mapa final'!$AA$54="Alta",'Mapa final'!$AC$54="Leve"),CONCATENATE("R8C",'Mapa final'!$Q$54),"")</f>
        <v/>
      </c>
      <c r="N23" s="69" t="str">
        <f>IF(AND('Mapa final'!$AA$55="Alta",'Mapa final'!$AC$55="Leve"),CONCATENATE("R8C",'Mapa final'!$Q$55),"")</f>
        <v/>
      </c>
      <c r="O23" s="70" t="str">
        <f>IF(AND('Mapa final'!$AA$56="Alta",'Mapa final'!$AC$56="Leve"),CONCATENATE("R8C",'Mapa final'!$Q$56),"")</f>
        <v/>
      </c>
      <c r="P23" s="68" t="str">
        <f>IF(AND('Mapa final'!$AA$51="Alta",'Mapa final'!$AC$51="Menor"),CONCATENATE("R8C",'Mapa final'!$Q$51),"")</f>
        <v/>
      </c>
      <c r="Q23" s="69" t="str">
        <f>IF(AND('Mapa final'!$AA$52="Alta",'Mapa final'!$AC$52="Menor"),CONCATENATE("R8C",'Mapa final'!$Q$52),"")</f>
        <v/>
      </c>
      <c r="R23" s="69" t="str">
        <f>IF(AND('Mapa final'!$AA$53="Alta",'Mapa final'!$AC$53="Menor"),CONCATENATE("R8C",'Mapa final'!$Q$53),"")</f>
        <v/>
      </c>
      <c r="S23" s="69" t="str">
        <f>IF(AND('Mapa final'!$AA$54="Alta",'Mapa final'!$AC$54="Menor"),CONCATENATE("R8C",'Mapa final'!$Q$54),"")</f>
        <v/>
      </c>
      <c r="T23" s="69" t="str">
        <f>IF(AND('Mapa final'!$AA$55="Alta",'Mapa final'!$AC$55="Menor"),CONCATENATE("R8C",'Mapa final'!$Q$55),"")</f>
        <v/>
      </c>
      <c r="U23" s="70" t="str">
        <f>IF(AND('Mapa final'!$AA$56="Alta",'Mapa final'!$AC$56="Menor"),CONCATENATE("R8C",'Mapa final'!$Q$56),"")</f>
        <v/>
      </c>
      <c r="V23" s="52" t="str">
        <f>IF(AND('Mapa final'!$AA$51="Alta",'Mapa final'!$AC$51="Moderado"),CONCATENATE("R8C",'Mapa final'!$Q$51),"")</f>
        <v/>
      </c>
      <c r="W23" s="53" t="str">
        <f>IF(AND('Mapa final'!$AA$52="Alta",'Mapa final'!$AC$52="Moderado"),CONCATENATE("R8C",'Mapa final'!$Q$52),"")</f>
        <v/>
      </c>
      <c r="X23" s="58" t="str">
        <f>IF(AND('Mapa final'!$AA$53="Alta",'Mapa final'!$AC$53="Moderado"),CONCATENATE("R8C",'Mapa final'!$Q$53),"")</f>
        <v/>
      </c>
      <c r="Y23" s="58" t="str">
        <f>IF(AND('Mapa final'!$AA$54="Alta",'Mapa final'!$AC$54="Moderado"),CONCATENATE("R8C",'Mapa final'!$Q$54),"")</f>
        <v/>
      </c>
      <c r="Z23" s="58" t="str">
        <f>IF(AND('Mapa final'!$AA$55="Alta",'Mapa final'!$AC$55="Moderado"),CONCATENATE("R8C",'Mapa final'!$Q$55),"")</f>
        <v/>
      </c>
      <c r="AA23" s="54" t="str">
        <f>IF(AND('Mapa final'!$AA$56="Alta",'Mapa final'!$AC$56="Moderado"),CONCATENATE("R8C",'Mapa final'!$Q$56),"")</f>
        <v/>
      </c>
      <c r="AB23" s="52" t="str">
        <f>IF(AND('Mapa final'!$AA$51="Alta",'Mapa final'!$AC$51="Mayor"),CONCATENATE("R8C",'Mapa final'!$Q$51),"")</f>
        <v/>
      </c>
      <c r="AC23" s="53" t="str">
        <f>IF(AND('Mapa final'!$AA$52="Alta",'Mapa final'!$AC$52="Mayor"),CONCATENATE("R8C",'Mapa final'!$Q$52),"")</f>
        <v/>
      </c>
      <c r="AD23" s="58" t="str">
        <f>IF(AND('Mapa final'!$AA$53="Alta",'Mapa final'!$AC$53="Mayor"),CONCATENATE("R8C",'Mapa final'!$Q$53),"")</f>
        <v/>
      </c>
      <c r="AE23" s="58" t="str">
        <f>IF(AND('Mapa final'!$AA$54="Alta",'Mapa final'!$AC$54="Mayor"),CONCATENATE("R8C",'Mapa final'!$Q$54),"")</f>
        <v/>
      </c>
      <c r="AF23" s="58" t="str">
        <f>IF(AND('Mapa final'!$AA$55="Alta",'Mapa final'!$AC$55="Mayor"),CONCATENATE("R8C",'Mapa final'!$Q$55),"")</f>
        <v/>
      </c>
      <c r="AG23" s="54" t="str">
        <f>IF(AND('Mapa final'!$AA$56="Alta",'Mapa final'!$AC$56="Mayor"),CONCATENATE("R8C",'Mapa final'!$Q$56),"")</f>
        <v/>
      </c>
      <c r="AH23" s="55" t="str">
        <f>IF(AND('Mapa final'!$AA$51="Alta",'Mapa final'!$AC$51="Catastrófico"),CONCATENATE("R8C",'Mapa final'!$Q$51),"")</f>
        <v/>
      </c>
      <c r="AI23" s="56" t="str">
        <f>IF(AND('Mapa final'!$AA$52="Alta",'Mapa final'!$AC$52="Catastrófico"),CONCATENATE("R8C",'Mapa final'!$Q$52),"")</f>
        <v/>
      </c>
      <c r="AJ23" s="56" t="str">
        <f>IF(AND('Mapa final'!$AA$53="Alta",'Mapa final'!$AC$53="Catastrófico"),CONCATENATE("R8C",'Mapa final'!$Q$53),"")</f>
        <v/>
      </c>
      <c r="AK23" s="56" t="str">
        <f>IF(AND('Mapa final'!$AA$54="Alta",'Mapa final'!$AC$54="Catastrófico"),CONCATENATE("R8C",'Mapa final'!$Q$54),"")</f>
        <v/>
      </c>
      <c r="AL23" s="56" t="str">
        <f>IF(AND('Mapa final'!$AA$55="Alta",'Mapa final'!$AC$55="Catastrófico"),CONCATENATE("R8C",'Mapa final'!$Q$55),"")</f>
        <v/>
      </c>
      <c r="AM23" s="57" t="str">
        <f>IF(AND('Mapa final'!$AA$56="Alta",'Mapa final'!$AC$56="Catastrófico"),CONCATENATE("R8C",'Mapa final'!$Q$56),"")</f>
        <v/>
      </c>
      <c r="AN23" s="84"/>
      <c r="AO23" s="373"/>
      <c r="AP23" s="374"/>
      <c r="AQ23" s="374"/>
      <c r="AR23" s="374"/>
      <c r="AS23" s="374"/>
      <c r="AT23" s="375"/>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2"/>
      <c r="C24" s="282"/>
      <c r="D24" s="283"/>
      <c r="E24" s="383"/>
      <c r="F24" s="384"/>
      <c r="G24" s="384"/>
      <c r="H24" s="384"/>
      <c r="I24" s="382"/>
      <c r="J24" s="68" t="str">
        <f>IF(AND('Mapa final'!$AA$57="Alta",'Mapa final'!$AC$57="Leve"),CONCATENATE("R9C",'Mapa final'!$Q$57),"")</f>
        <v/>
      </c>
      <c r="K24" s="69" t="str">
        <f>IF(AND('Mapa final'!$AA$58="Alta",'Mapa final'!$AC$58="Leve"),CONCATENATE("R9C",'Mapa final'!$Q$58),"")</f>
        <v/>
      </c>
      <c r="L24" s="69" t="str">
        <f>IF(AND('Mapa final'!$AA$59="Alta",'Mapa final'!$AC$59="Leve"),CONCATENATE("R9C",'Mapa final'!$Q$59),"")</f>
        <v/>
      </c>
      <c r="M24" s="69" t="str">
        <f>IF(AND('Mapa final'!$AA$60="Alta",'Mapa final'!$AC$60="Leve"),CONCATENATE("R9C",'Mapa final'!$Q$60),"")</f>
        <v/>
      </c>
      <c r="N24" s="69" t="str">
        <f>IF(AND('Mapa final'!$AA$61="Alta",'Mapa final'!$AC$61="Leve"),CONCATENATE("R9C",'Mapa final'!$Q$61),"")</f>
        <v/>
      </c>
      <c r="O24" s="70" t="str">
        <f>IF(AND('Mapa final'!$AA$62="Alta",'Mapa final'!$AC$62="Leve"),CONCATENATE("R9C",'Mapa final'!$Q$62),"")</f>
        <v/>
      </c>
      <c r="P24" s="68" t="str">
        <f>IF(AND('Mapa final'!$AA$57="Alta",'Mapa final'!$AC$57="Menor"),CONCATENATE("R9C",'Mapa final'!$Q$57),"")</f>
        <v/>
      </c>
      <c r="Q24" s="69" t="str">
        <f>IF(AND('Mapa final'!$AA$58="Alta",'Mapa final'!$AC$58="Menor"),CONCATENATE("R9C",'Mapa final'!$Q$58),"")</f>
        <v/>
      </c>
      <c r="R24" s="69" t="str">
        <f>IF(AND('Mapa final'!$AA$59="Alta",'Mapa final'!$AC$59="Menor"),CONCATENATE("R9C",'Mapa final'!$Q$59),"")</f>
        <v/>
      </c>
      <c r="S24" s="69" t="str">
        <f>IF(AND('Mapa final'!$AA$60="Alta",'Mapa final'!$AC$60="Menor"),CONCATENATE("R9C",'Mapa final'!$Q$60),"")</f>
        <v/>
      </c>
      <c r="T24" s="69" t="str">
        <f>IF(AND('Mapa final'!$AA$61="Alta",'Mapa final'!$AC$61="Menor"),CONCATENATE("R9C",'Mapa final'!$Q$61),"")</f>
        <v/>
      </c>
      <c r="U24" s="70" t="str">
        <f>IF(AND('Mapa final'!$AA$62="Alta",'Mapa final'!$AC$62="Menor"),CONCATENATE("R9C",'Mapa final'!$Q$62),"")</f>
        <v/>
      </c>
      <c r="V24" s="52" t="str">
        <f>IF(AND('Mapa final'!$AA$57="Alta",'Mapa final'!$AC$57="Moderado"),CONCATENATE("R9C",'Mapa final'!$Q$57),"")</f>
        <v/>
      </c>
      <c r="W24" s="53" t="str">
        <f>IF(AND('Mapa final'!$AA$58="Alta",'Mapa final'!$AC$58="Moderado"),CONCATENATE("R9C",'Mapa final'!$Q$58),"")</f>
        <v/>
      </c>
      <c r="X24" s="58" t="str">
        <f>IF(AND('Mapa final'!$AA$59="Alta",'Mapa final'!$AC$59="Moderado"),CONCATENATE("R9C",'Mapa final'!$Q$59),"")</f>
        <v/>
      </c>
      <c r="Y24" s="58" t="str">
        <f>IF(AND('Mapa final'!$AA$60="Alta",'Mapa final'!$AC$60="Moderado"),CONCATENATE("R9C",'Mapa final'!$Q$60),"")</f>
        <v/>
      </c>
      <c r="Z24" s="58" t="str">
        <f>IF(AND('Mapa final'!$AA$61="Alta",'Mapa final'!$AC$61="Moderado"),CONCATENATE("R9C",'Mapa final'!$Q$61),"")</f>
        <v/>
      </c>
      <c r="AA24" s="54" t="str">
        <f>IF(AND('Mapa final'!$AA$62="Alta",'Mapa final'!$AC$62="Moderado"),CONCATENATE("R9C",'Mapa final'!$Q$62),"")</f>
        <v/>
      </c>
      <c r="AB24" s="52" t="str">
        <f>IF(AND('Mapa final'!$AA$57="Alta",'Mapa final'!$AC$57="Mayor"),CONCATENATE("R9C",'Mapa final'!$Q$57),"")</f>
        <v/>
      </c>
      <c r="AC24" s="53" t="str">
        <f>IF(AND('Mapa final'!$AA$58="Alta",'Mapa final'!$AC$58="Mayor"),CONCATENATE("R9C",'Mapa final'!$Q$58),"")</f>
        <v/>
      </c>
      <c r="AD24" s="58" t="str">
        <f>IF(AND('Mapa final'!$AA$59="Alta",'Mapa final'!$AC$59="Mayor"),CONCATENATE("R9C",'Mapa final'!$Q$59),"")</f>
        <v/>
      </c>
      <c r="AE24" s="58" t="str">
        <f>IF(AND('Mapa final'!$AA$60="Alta",'Mapa final'!$AC$60="Mayor"),CONCATENATE("R9C",'Mapa final'!$Q$60),"")</f>
        <v/>
      </c>
      <c r="AF24" s="58" t="str">
        <f>IF(AND('Mapa final'!$AA$61="Alta",'Mapa final'!$AC$61="Mayor"),CONCATENATE("R9C",'Mapa final'!$Q$61),"")</f>
        <v/>
      </c>
      <c r="AG24" s="54" t="str">
        <f>IF(AND('Mapa final'!$AA$62="Alta",'Mapa final'!$AC$62="Mayor"),CONCATENATE("R9C",'Mapa final'!$Q$62),"")</f>
        <v/>
      </c>
      <c r="AH24" s="55" t="str">
        <f>IF(AND('Mapa final'!$AA$57="Alta",'Mapa final'!$AC$57="Catastrófico"),CONCATENATE("R9C",'Mapa final'!$Q$57),"")</f>
        <v/>
      </c>
      <c r="AI24" s="56" t="str">
        <f>IF(AND('Mapa final'!$AA$58="Alta",'Mapa final'!$AC$58="Catastrófico"),CONCATENATE("R9C",'Mapa final'!$Q$58),"")</f>
        <v/>
      </c>
      <c r="AJ24" s="56" t="str">
        <f>IF(AND('Mapa final'!$AA$59="Alta",'Mapa final'!$AC$59="Catastrófico"),CONCATENATE("R9C",'Mapa final'!$Q$59),"")</f>
        <v/>
      </c>
      <c r="AK24" s="56" t="str">
        <f>IF(AND('Mapa final'!$AA$60="Alta",'Mapa final'!$AC$60="Catastrófico"),CONCATENATE("R9C",'Mapa final'!$Q$60),"")</f>
        <v/>
      </c>
      <c r="AL24" s="56" t="str">
        <f>IF(AND('Mapa final'!$AA$61="Alta",'Mapa final'!$AC$61="Catastrófico"),CONCATENATE("R9C",'Mapa final'!$Q$61),"")</f>
        <v/>
      </c>
      <c r="AM24" s="57" t="str">
        <f>IF(AND('Mapa final'!$AA$62="Alta",'Mapa final'!$AC$62="Catastrófico"),CONCATENATE("R9C",'Mapa final'!$Q$62),"")</f>
        <v/>
      </c>
      <c r="AN24" s="84"/>
      <c r="AO24" s="373"/>
      <c r="AP24" s="374"/>
      <c r="AQ24" s="374"/>
      <c r="AR24" s="374"/>
      <c r="AS24" s="374"/>
      <c r="AT24" s="375"/>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2"/>
      <c r="C25" s="282"/>
      <c r="D25" s="283"/>
      <c r="E25" s="385"/>
      <c r="F25" s="386"/>
      <c r="G25" s="386"/>
      <c r="H25" s="386"/>
      <c r="I25" s="386"/>
      <c r="J25" s="71" t="str">
        <f>IF(AND('Mapa final'!$AA$63="Alta",'Mapa final'!$AC$63="Leve"),CONCATENATE("R10C",'Mapa final'!$Q$63),"")</f>
        <v/>
      </c>
      <c r="K25" s="72" t="str">
        <f>IF(AND('Mapa final'!$AA$64="Alta",'Mapa final'!$AC$64="Leve"),CONCATENATE("R10C",'Mapa final'!$Q$64),"")</f>
        <v/>
      </c>
      <c r="L25" s="72" t="str">
        <f>IF(AND('Mapa final'!$AA$65="Alta",'Mapa final'!$AC$65="Leve"),CONCATENATE("R10C",'Mapa final'!$Q$65),"")</f>
        <v/>
      </c>
      <c r="M25" s="72" t="str">
        <f>IF(AND('Mapa final'!$AA$66="Alta",'Mapa final'!$AC$66="Leve"),CONCATENATE("R10C",'Mapa final'!$Q$66),"")</f>
        <v/>
      </c>
      <c r="N25" s="72" t="str">
        <f>IF(AND('Mapa final'!$AA$67="Alta",'Mapa final'!$AC$67="Leve"),CONCATENATE("R10C",'Mapa final'!$Q$67),"")</f>
        <v/>
      </c>
      <c r="O25" s="73" t="str">
        <f>IF(AND('Mapa final'!$AA$68="Alta",'Mapa final'!$AC$68="Leve"),CONCATENATE("R10C",'Mapa final'!$Q$68),"")</f>
        <v/>
      </c>
      <c r="P25" s="71" t="str">
        <f>IF(AND('Mapa final'!$AA$63="Alta",'Mapa final'!$AC$63="Menor"),CONCATENATE("R10C",'Mapa final'!$Q$63),"")</f>
        <v/>
      </c>
      <c r="Q25" s="72" t="str">
        <f>IF(AND('Mapa final'!$AA$64="Alta",'Mapa final'!$AC$64="Menor"),CONCATENATE("R10C",'Mapa final'!$Q$64),"")</f>
        <v/>
      </c>
      <c r="R25" s="72" t="str">
        <f>IF(AND('Mapa final'!$AA$65="Alta",'Mapa final'!$AC$65="Menor"),CONCATENATE("R10C",'Mapa final'!$Q$65),"")</f>
        <v/>
      </c>
      <c r="S25" s="72" t="str">
        <f>IF(AND('Mapa final'!$AA$66="Alta",'Mapa final'!$AC$66="Menor"),CONCATENATE("R10C",'Mapa final'!$Q$66),"")</f>
        <v/>
      </c>
      <c r="T25" s="72" t="str">
        <f>IF(AND('Mapa final'!$AA$67="Alta",'Mapa final'!$AC$67="Menor"),CONCATENATE("R10C",'Mapa final'!$Q$67),"")</f>
        <v/>
      </c>
      <c r="U25" s="73" t="str">
        <f>IF(AND('Mapa final'!$AA$68="Alta",'Mapa final'!$AC$68="Menor"),CONCATENATE("R10C",'Mapa final'!$Q$68),"")</f>
        <v/>
      </c>
      <c r="V25" s="59" t="str">
        <f>IF(AND('Mapa final'!$AA$63="Alta",'Mapa final'!$AC$63="Moderado"),CONCATENATE("R10C",'Mapa final'!$Q$63),"")</f>
        <v/>
      </c>
      <c r="W25" s="60" t="str">
        <f>IF(AND('Mapa final'!$AA$64="Alta",'Mapa final'!$AC$64="Moderado"),CONCATENATE("R10C",'Mapa final'!$Q$64),"")</f>
        <v/>
      </c>
      <c r="X25" s="60" t="str">
        <f>IF(AND('Mapa final'!$AA$65="Alta",'Mapa final'!$AC$65="Moderado"),CONCATENATE("R10C",'Mapa final'!$Q$65),"")</f>
        <v/>
      </c>
      <c r="Y25" s="60" t="str">
        <f>IF(AND('Mapa final'!$AA$66="Alta",'Mapa final'!$AC$66="Moderado"),CONCATENATE("R10C",'Mapa final'!$Q$66),"")</f>
        <v/>
      </c>
      <c r="Z25" s="60" t="str">
        <f>IF(AND('Mapa final'!$AA$67="Alta",'Mapa final'!$AC$67="Moderado"),CONCATENATE("R10C",'Mapa final'!$Q$67),"")</f>
        <v/>
      </c>
      <c r="AA25" s="61" t="str">
        <f>IF(AND('Mapa final'!$AA$68="Alta",'Mapa final'!$AC$68="Moderado"),CONCATENATE("R10C",'Mapa final'!$Q$68),"")</f>
        <v/>
      </c>
      <c r="AB25" s="59" t="str">
        <f>IF(AND('Mapa final'!$AA$63="Alta",'Mapa final'!$AC$63="Mayor"),CONCATENATE("R10C",'Mapa final'!$Q$63),"")</f>
        <v/>
      </c>
      <c r="AC25" s="60" t="str">
        <f>IF(AND('Mapa final'!$AA$64="Alta",'Mapa final'!$AC$64="Mayor"),CONCATENATE("R10C",'Mapa final'!$Q$64),"")</f>
        <v/>
      </c>
      <c r="AD25" s="60" t="str">
        <f>IF(AND('Mapa final'!$AA$65="Alta",'Mapa final'!$AC$65="Mayor"),CONCATENATE("R10C",'Mapa final'!$Q$65),"")</f>
        <v/>
      </c>
      <c r="AE25" s="60" t="str">
        <f>IF(AND('Mapa final'!$AA$66="Alta",'Mapa final'!$AC$66="Mayor"),CONCATENATE("R10C",'Mapa final'!$Q$66),"")</f>
        <v/>
      </c>
      <c r="AF25" s="60" t="str">
        <f>IF(AND('Mapa final'!$AA$67="Alta",'Mapa final'!$AC$67="Mayor"),CONCATENATE("R10C",'Mapa final'!$Q$67),"")</f>
        <v/>
      </c>
      <c r="AG25" s="61" t="str">
        <f>IF(AND('Mapa final'!$AA$68="Alta",'Mapa final'!$AC$68="Mayor"),CONCATENATE("R10C",'Mapa final'!$Q$68),"")</f>
        <v/>
      </c>
      <c r="AH25" s="62" t="str">
        <f>IF(AND('Mapa final'!$AA$63="Alta",'Mapa final'!$AC$63="Catastrófico"),CONCATENATE("R10C",'Mapa final'!$Q$63),"")</f>
        <v/>
      </c>
      <c r="AI25" s="63" t="str">
        <f>IF(AND('Mapa final'!$AA$64="Alta",'Mapa final'!$AC$64="Catastrófico"),CONCATENATE("R10C",'Mapa final'!$Q$64),"")</f>
        <v/>
      </c>
      <c r="AJ25" s="63" t="str">
        <f>IF(AND('Mapa final'!$AA$65="Alta",'Mapa final'!$AC$65="Catastrófico"),CONCATENATE("R10C",'Mapa final'!$Q$65),"")</f>
        <v/>
      </c>
      <c r="AK25" s="63" t="str">
        <f>IF(AND('Mapa final'!$AA$66="Alta",'Mapa final'!$AC$66="Catastrófico"),CONCATENATE("R10C",'Mapa final'!$Q$66),"")</f>
        <v/>
      </c>
      <c r="AL25" s="63" t="str">
        <f>IF(AND('Mapa final'!$AA$67="Alta",'Mapa final'!$AC$67="Catastrófico"),CONCATENATE("R10C",'Mapa final'!$Q$67),"")</f>
        <v/>
      </c>
      <c r="AM25" s="64" t="str">
        <f>IF(AND('Mapa final'!$AA$68="Alta",'Mapa final'!$AC$68="Catastrófico"),CONCATENATE("R10C",'Mapa final'!$Q$68),"")</f>
        <v/>
      </c>
      <c r="AN25" s="84"/>
      <c r="AO25" s="376"/>
      <c r="AP25" s="377"/>
      <c r="AQ25" s="377"/>
      <c r="AR25" s="377"/>
      <c r="AS25" s="377"/>
      <c r="AT25" s="378"/>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2"/>
      <c r="C26" s="282"/>
      <c r="D26" s="283"/>
      <c r="E26" s="379" t="s">
        <v>109</v>
      </c>
      <c r="F26" s="380"/>
      <c r="G26" s="380"/>
      <c r="H26" s="380"/>
      <c r="I26" s="398"/>
      <c r="J26" s="65" t="str">
        <f ca="1">IF(AND('Mapa final'!$AA$11="Media",'Mapa final'!$AC$11="Leve"),CONCATENATE("R1C",'Mapa final'!$Q$11),"")</f>
        <v/>
      </c>
      <c r="K26" s="66" t="str">
        <f ca="1">IF(AND('Mapa final'!$AA$12="Media",'Mapa final'!$AC$12="Leve"),CONCATENATE("R1C",'Mapa final'!$Q$12),"")</f>
        <v/>
      </c>
      <c r="L26" s="66" t="e">
        <f>IF(AND('Mapa final'!#REF!="Media",'Mapa final'!#REF!="Leve"),CONCATENATE("R1C",'Mapa final'!#REF!),"")</f>
        <v>#REF!</v>
      </c>
      <c r="M26" s="66" t="e">
        <f>IF(AND('Mapa final'!#REF!="Media",'Mapa final'!#REF!="Leve"),CONCATENATE("R1C",'Mapa final'!#REF!),"")</f>
        <v>#REF!</v>
      </c>
      <c r="N26" s="66" t="str">
        <f>IF(AND('Mapa final'!$AA$13="Media",'Mapa final'!$AC$13="Leve"),CONCATENATE("R1C",'Mapa final'!$Q$13),"")</f>
        <v/>
      </c>
      <c r="O26" s="67" t="str">
        <f>IF(AND('Mapa final'!$AA$14="Media",'Mapa final'!$AC$14="Leve"),CONCATENATE("R1C",'Mapa final'!$Q$14),"")</f>
        <v/>
      </c>
      <c r="P26" s="65" t="str">
        <f ca="1">IF(AND('Mapa final'!$AA$11="Media",'Mapa final'!$AC$11="Menor"),CONCATENATE("R1C",'Mapa final'!$Q$11),"")</f>
        <v/>
      </c>
      <c r="Q26" s="66" t="str">
        <f ca="1">IF(AND('Mapa final'!$AA$12="Media",'Mapa final'!$AC$12="Menor"),CONCATENATE("R1C",'Mapa final'!$Q$12),"")</f>
        <v/>
      </c>
      <c r="R26" s="66" t="e">
        <f>IF(AND('Mapa final'!#REF!="Media",'Mapa final'!#REF!="Menor"),CONCATENATE("R1C",'Mapa final'!#REF!),"")</f>
        <v>#REF!</v>
      </c>
      <c r="S26" s="66" t="e">
        <f>IF(AND('Mapa final'!#REF!="Media",'Mapa final'!#REF!="Menor"),CONCATENATE("R1C",'Mapa final'!#REF!),"")</f>
        <v>#REF!</v>
      </c>
      <c r="T26" s="66" t="str">
        <f>IF(AND('Mapa final'!$AA$13="Media",'Mapa final'!$AC$13="Menor"),CONCATENATE("R1C",'Mapa final'!$Q$13),"")</f>
        <v/>
      </c>
      <c r="U26" s="67" t="str">
        <f>IF(AND('Mapa final'!$AA$14="Media",'Mapa final'!$AC$14="Menor"),CONCATENATE("R1C",'Mapa final'!$Q$14),"")</f>
        <v/>
      </c>
      <c r="V26" s="65" t="str">
        <f ca="1">IF(AND('Mapa final'!$AA$11="Media",'Mapa final'!$AC$11="Moderado"),CONCATENATE("R1C",'Mapa final'!$Q$11),"")</f>
        <v/>
      </c>
      <c r="W26" s="66" t="str">
        <f ca="1">IF(AND('Mapa final'!$AA$12="Media",'Mapa final'!$AC$12="Moderado"),CONCATENATE("R1C",'Mapa final'!$Q$12),"")</f>
        <v/>
      </c>
      <c r="X26" s="66" t="e">
        <f>IF(AND('Mapa final'!#REF!="Media",'Mapa final'!#REF!="Moderado"),CONCATENATE("R1C",'Mapa final'!#REF!),"")</f>
        <v>#REF!</v>
      </c>
      <c r="Y26" s="66" t="e">
        <f>IF(AND('Mapa final'!#REF!="Media",'Mapa final'!#REF!="Moderado"),CONCATENATE("R1C",'Mapa final'!#REF!),"")</f>
        <v>#REF!</v>
      </c>
      <c r="Z26" s="66" t="str">
        <f>IF(AND('Mapa final'!$AA$13="Media",'Mapa final'!$AC$13="Moderado"),CONCATENATE("R1C",'Mapa final'!$Q$13),"")</f>
        <v/>
      </c>
      <c r="AA26" s="67" t="str">
        <f>IF(AND('Mapa final'!$AA$14="Media",'Mapa final'!$AC$14="Moderado"),CONCATENATE("R1C",'Mapa final'!$Q$14),"")</f>
        <v/>
      </c>
      <c r="AB26" s="46" t="str">
        <f ca="1">IF(AND('Mapa final'!$AA$11="Media",'Mapa final'!$AC$11="Mayor"),CONCATENATE("R1C",'Mapa final'!$Q$11),"")</f>
        <v/>
      </c>
      <c r="AC26" s="47" t="str">
        <f ca="1">IF(AND('Mapa final'!$AA$12="Media",'Mapa final'!$AC$12="Mayor"),CONCATENATE("R1C",'Mapa final'!$Q$12),"")</f>
        <v/>
      </c>
      <c r="AD26" s="47" t="e">
        <f>IF(AND('Mapa final'!#REF!="Media",'Mapa final'!#REF!="Mayor"),CONCATENATE("R1C",'Mapa final'!#REF!),"")</f>
        <v>#REF!</v>
      </c>
      <c r="AE26" s="47" t="e">
        <f>IF(AND('Mapa final'!#REF!="Media",'Mapa final'!#REF!="Mayor"),CONCATENATE("R1C",'Mapa final'!#REF!),"")</f>
        <v>#REF!</v>
      </c>
      <c r="AF26" s="47" t="str">
        <f>IF(AND('Mapa final'!$AA$13="Media",'Mapa final'!$AC$13="Mayor"),CONCATENATE("R1C",'Mapa final'!$Q$13),"")</f>
        <v/>
      </c>
      <c r="AG26" s="48" t="str">
        <f>IF(AND('Mapa final'!$AA$14="Media",'Mapa final'!$AC$14="Mayor"),CONCATENATE("R1C",'Mapa final'!$Q$14),"")</f>
        <v/>
      </c>
      <c r="AH26" s="49" t="str">
        <f ca="1">IF(AND('Mapa final'!$AA$11="Media",'Mapa final'!$AC$11="Catastrófico"),CONCATENATE("R1C",'Mapa final'!$Q$11),"")</f>
        <v/>
      </c>
      <c r="AI26" s="50" t="str">
        <f ca="1">IF(AND('Mapa final'!$AA$12="Media",'Mapa final'!$AC$12="Catastrófico"),CONCATENATE("R1C",'Mapa final'!$Q$12),"")</f>
        <v/>
      </c>
      <c r="AJ26" s="50" t="e">
        <f>IF(AND('Mapa final'!#REF!="Media",'Mapa final'!#REF!="Catastrófico"),CONCATENATE("R1C",'Mapa final'!#REF!),"")</f>
        <v>#REF!</v>
      </c>
      <c r="AK26" s="50" t="e">
        <f>IF(AND('Mapa final'!#REF!="Media",'Mapa final'!#REF!="Catastrófico"),CONCATENATE("R1C",'Mapa final'!#REF!),"")</f>
        <v>#REF!</v>
      </c>
      <c r="AL26" s="50" t="str">
        <f>IF(AND('Mapa final'!$AA$13="Media",'Mapa final'!$AC$13="Catastrófico"),CONCATENATE("R1C",'Mapa final'!$Q$13),"")</f>
        <v/>
      </c>
      <c r="AM26" s="51" t="str">
        <f>IF(AND('Mapa final'!$AA$14="Media",'Mapa final'!$AC$14="Catastrófico"),CONCATENATE("R1C",'Mapa final'!$Q$14),"")</f>
        <v/>
      </c>
      <c r="AN26" s="84"/>
      <c r="AO26" s="410" t="s">
        <v>78</v>
      </c>
      <c r="AP26" s="411"/>
      <c r="AQ26" s="411"/>
      <c r="AR26" s="411"/>
      <c r="AS26" s="411"/>
      <c r="AT26" s="412"/>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2"/>
      <c r="C27" s="282"/>
      <c r="D27" s="283"/>
      <c r="E27" s="381"/>
      <c r="F27" s="382"/>
      <c r="G27" s="382"/>
      <c r="H27" s="382"/>
      <c r="I27" s="399"/>
      <c r="J27" s="68" t="str">
        <f>IF(AND('Mapa final'!$AA$15="Media",'Mapa final'!$AC$15="Leve"),CONCATENATE("R2C",'Mapa final'!$Q$15),"")</f>
        <v/>
      </c>
      <c r="K27" s="69" t="str">
        <f>IF(AND('Mapa final'!$AA$16="Media",'Mapa final'!$AC$16="Leve"),CONCATENATE("R2C",'Mapa final'!$Q$16),"")</f>
        <v/>
      </c>
      <c r="L27" s="69" t="str">
        <f>IF(AND('Mapa final'!$AA$17="Media",'Mapa final'!$AC$17="Leve"),CONCATENATE("R2C",'Mapa final'!$Q$17),"")</f>
        <v/>
      </c>
      <c r="M27" s="69" t="str">
        <f>IF(AND('Mapa final'!$AA$18="Media",'Mapa final'!$AC$18="Leve"),CONCATENATE("R2C",'Mapa final'!$Q$18),"")</f>
        <v/>
      </c>
      <c r="N27" s="69" t="str">
        <f>IF(AND('Mapa final'!$AA$19="Media",'Mapa final'!$AC$19="Leve"),CONCATENATE("R2C",'Mapa final'!$Q$19),"")</f>
        <v/>
      </c>
      <c r="O27" s="70" t="str">
        <f>IF(AND('Mapa final'!$AA$20="Media",'Mapa final'!$AC$20="Leve"),CONCATENATE("R2C",'Mapa final'!$Q$20),"")</f>
        <v/>
      </c>
      <c r="P27" s="68" t="str">
        <f>IF(AND('Mapa final'!$AA$15="Media",'Mapa final'!$AC$15="Menor"),CONCATENATE("R2C",'Mapa final'!$Q$15),"")</f>
        <v/>
      </c>
      <c r="Q27" s="69" t="str">
        <f>IF(AND('Mapa final'!$AA$16="Media",'Mapa final'!$AC$16="Menor"),CONCATENATE("R2C",'Mapa final'!$Q$16),"")</f>
        <v/>
      </c>
      <c r="R27" s="69" t="str">
        <f>IF(AND('Mapa final'!$AA$17="Media",'Mapa final'!$AC$17="Menor"),CONCATENATE("R2C",'Mapa final'!$Q$17),"")</f>
        <v/>
      </c>
      <c r="S27" s="69" t="str">
        <f>IF(AND('Mapa final'!$AA$18="Media",'Mapa final'!$AC$18="Menor"),CONCATENATE("R2C",'Mapa final'!$Q$18),"")</f>
        <v/>
      </c>
      <c r="T27" s="69" t="str">
        <f>IF(AND('Mapa final'!$AA$19="Media",'Mapa final'!$AC$19="Menor"),CONCATENATE("R2C",'Mapa final'!$Q$19),"")</f>
        <v/>
      </c>
      <c r="U27" s="70" t="str">
        <f>IF(AND('Mapa final'!$AA$20="Media",'Mapa final'!$AC$20="Menor"),CONCATENATE("R2C",'Mapa final'!$Q$20),"")</f>
        <v/>
      </c>
      <c r="V27" s="68" t="str">
        <f>IF(AND('Mapa final'!$AA$15="Media",'Mapa final'!$AC$15="Moderado"),CONCATENATE("R2C",'Mapa final'!$Q$15),"")</f>
        <v/>
      </c>
      <c r="W27" s="69" t="str">
        <f>IF(AND('Mapa final'!$AA$16="Media",'Mapa final'!$AC$16="Moderado"),CONCATENATE("R2C",'Mapa final'!$Q$16),"")</f>
        <v/>
      </c>
      <c r="X27" s="69" t="str">
        <f>IF(AND('Mapa final'!$AA$17="Media",'Mapa final'!$AC$17="Moderado"),CONCATENATE("R2C",'Mapa final'!$Q$17),"")</f>
        <v/>
      </c>
      <c r="Y27" s="69" t="str">
        <f>IF(AND('Mapa final'!$AA$18="Media",'Mapa final'!$AC$18="Moderado"),CONCATENATE("R2C",'Mapa final'!$Q$18),"")</f>
        <v/>
      </c>
      <c r="Z27" s="69" t="str">
        <f>IF(AND('Mapa final'!$AA$19="Media",'Mapa final'!$AC$19="Moderado"),CONCATENATE("R2C",'Mapa final'!$Q$19),"")</f>
        <v/>
      </c>
      <c r="AA27" s="70" t="str">
        <f>IF(AND('Mapa final'!$AA$20="Media",'Mapa final'!$AC$20="Moderado"),CONCATENATE("R2C",'Mapa final'!$Q$20),"")</f>
        <v/>
      </c>
      <c r="AB27" s="52" t="str">
        <f>IF(AND('Mapa final'!$AA$15="Media",'Mapa final'!$AC$15="Mayor"),CONCATENATE("R2C",'Mapa final'!$Q$15),"")</f>
        <v/>
      </c>
      <c r="AC27" s="53" t="str">
        <f>IF(AND('Mapa final'!$AA$16="Media",'Mapa final'!$AC$16="Mayor"),CONCATENATE("R2C",'Mapa final'!$Q$16),"")</f>
        <v/>
      </c>
      <c r="AD27" s="53" t="str">
        <f>IF(AND('Mapa final'!$AA$17="Media",'Mapa final'!$AC$17="Mayor"),CONCATENATE("R2C",'Mapa final'!$Q$17),"")</f>
        <v/>
      </c>
      <c r="AE27" s="53" t="str">
        <f>IF(AND('Mapa final'!$AA$18="Media",'Mapa final'!$AC$18="Mayor"),CONCATENATE("R2C",'Mapa final'!$Q$18),"")</f>
        <v/>
      </c>
      <c r="AF27" s="53" t="str">
        <f>IF(AND('Mapa final'!$AA$19="Media",'Mapa final'!$AC$19="Mayor"),CONCATENATE("R2C",'Mapa final'!$Q$19),"")</f>
        <v/>
      </c>
      <c r="AG27" s="54" t="str">
        <f>IF(AND('Mapa final'!$AA$20="Media",'Mapa final'!$AC$20="Mayor"),CONCATENATE("R2C",'Mapa final'!$Q$20),"")</f>
        <v/>
      </c>
      <c r="AH27" s="55" t="str">
        <f>IF(AND('Mapa final'!$AA$15="Media",'Mapa final'!$AC$15="Catastrófico"),CONCATENATE("R2C",'Mapa final'!$Q$15),"")</f>
        <v/>
      </c>
      <c r="AI27" s="56" t="str">
        <f>IF(AND('Mapa final'!$AA$16="Media",'Mapa final'!$AC$16="Catastrófico"),CONCATENATE("R2C",'Mapa final'!$Q$16),"")</f>
        <v/>
      </c>
      <c r="AJ27" s="56" t="str">
        <f>IF(AND('Mapa final'!$AA$17="Media",'Mapa final'!$AC$17="Catastrófico"),CONCATENATE("R2C",'Mapa final'!$Q$17),"")</f>
        <v/>
      </c>
      <c r="AK27" s="56" t="str">
        <f>IF(AND('Mapa final'!$AA$18="Media",'Mapa final'!$AC$18="Catastrófico"),CONCATENATE("R2C",'Mapa final'!$Q$18),"")</f>
        <v/>
      </c>
      <c r="AL27" s="56" t="str">
        <f>IF(AND('Mapa final'!$AA$19="Media",'Mapa final'!$AC$19="Catastrófico"),CONCATENATE("R2C",'Mapa final'!$Q$19),"")</f>
        <v/>
      </c>
      <c r="AM27" s="57" t="str">
        <f>IF(AND('Mapa final'!$AA$20="Media",'Mapa final'!$AC$20="Catastrófico"),CONCATENATE("R2C",'Mapa final'!$Q$20),"")</f>
        <v/>
      </c>
      <c r="AN27" s="84"/>
      <c r="AO27" s="413"/>
      <c r="AP27" s="414"/>
      <c r="AQ27" s="414"/>
      <c r="AR27" s="414"/>
      <c r="AS27" s="414"/>
      <c r="AT27" s="415"/>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2"/>
      <c r="C28" s="282"/>
      <c r="D28" s="283"/>
      <c r="E28" s="383"/>
      <c r="F28" s="384"/>
      <c r="G28" s="384"/>
      <c r="H28" s="384"/>
      <c r="I28" s="399"/>
      <c r="J28" s="68" t="str">
        <f>IF(AND('Mapa final'!$AA$21="Media",'Mapa final'!$AC$21="Leve"),CONCATENATE("R3C",'Mapa final'!$Q$21),"")</f>
        <v/>
      </c>
      <c r="K28" s="69" t="str">
        <f>IF(AND('Mapa final'!$AA$22="Media",'Mapa final'!$AC$22="Leve"),CONCATENATE("R3C",'Mapa final'!$Q$22),"")</f>
        <v/>
      </c>
      <c r="L28" s="69" t="str">
        <f>IF(AND('Mapa final'!$AA$23="Media",'Mapa final'!$AC$23="Leve"),CONCATENATE("R3C",'Mapa final'!$Q$23),"")</f>
        <v/>
      </c>
      <c r="M28" s="69" t="str">
        <f>IF(AND('Mapa final'!$AA$24="Media",'Mapa final'!$AC$24="Leve"),CONCATENATE("R3C",'Mapa final'!$Q$24),"")</f>
        <v/>
      </c>
      <c r="N28" s="69" t="str">
        <f>IF(AND('Mapa final'!$AA$25="Media",'Mapa final'!$AC$25="Leve"),CONCATENATE("R3C",'Mapa final'!$Q$25),"")</f>
        <v/>
      </c>
      <c r="O28" s="70" t="str">
        <f>IF(AND('Mapa final'!$AA$26="Media",'Mapa final'!$AC$26="Leve"),CONCATENATE("R3C",'Mapa final'!$Q$26),"")</f>
        <v/>
      </c>
      <c r="P28" s="68" t="str">
        <f>IF(AND('Mapa final'!$AA$21="Media",'Mapa final'!$AC$21="Menor"),CONCATENATE("R3C",'Mapa final'!$Q$21),"")</f>
        <v/>
      </c>
      <c r="Q28" s="69" t="str">
        <f>IF(AND('Mapa final'!$AA$22="Media",'Mapa final'!$AC$22="Menor"),CONCATENATE("R3C",'Mapa final'!$Q$22),"")</f>
        <v/>
      </c>
      <c r="R28" s="69" t="str">
        <f>IF(AND('Mapa final'!$AA$23="Media",'Mapa final'!$AC$23="Menor"),CONCATENATE("R3C",'Mapa final'!$Q$23),"")</f>
        <v/>
      </c>
      <c r="S28" s="69" t="str">
        <f>IF(AND('Mapa final'!$AA$24="Media",'Mapa final'!$AC$24="Menor"),CONCATENATE("R3C",'Mapa final'!$Q$24),"")</f>
        <v/>
      </c>
      <c r="T28" s="69" t="str">
        <f>IF(AND('Mapa final'!$AA$25="Media",'Mapa final'!$AC$25="Menor"),CONCATENATE("R3C",'Mapa final'!$Q$25),"")</f>
        <v/>
      </c>
      <c r="U28" s="70" t="str">
        <f>IF(AND('Mapa final'!$AA$26="Media",'Mapa final'!$AC$26="Menor"),CONCATENATE("R3C",'Mapa final'!$Q$26),"")</f>
        <v/>
      </c>
      <c r="V28" s="68" t="str">
        <f>IF(AND('Mapa final'!$AA$21="Media",'Mapa final'!$AC$21="Moderado"),CONCATENATE("R3C",'Mapa final'!$Q$21),"")</f>
        <v/>
      </c>
      <c r="W28" s="69" t="str">
        <f>IF(AND('Mapa final'!$AA$22="Media",'Mapa final'!$AC$22="Moderado"),CONCATENATE("R3C",'Mapa final'!$Q$22),"")</f>
        <v/>
      </c>
      <c r="X28" s="69" t="str">
        <f>IF(AND('Mapa final'!$AA$23="Media",'Mapa final'!$AC$23="Moderado"),CONCATENATE("R3C",'Mapa final'!$Q$23),"")</f>
        <v/>
      </c>
      <c r="Y28" s="69" t="str">
        <f>IF(AND('Mapa final'!$AA$24="Media",'Mapa final'!$AC$24="Moderado"),CONCATENATE("R3C",'Mapa final'!$Q$24),"")</f>
        <v/>
      </c>
      <c r="Z28" s="69" t="str">
        <f>IF(AND('Mapa final'!$AA$25="Media",'Mapa final'!$AC$25="Moderado"),CONCATENATE("R3C",'Mapa final'!$Q$25),"")</f>
        <v/>
      </c>
      <c r="AA28" s="70" t="str">
        <f>IF(AND('Mapa final'!$AA$26="Media",'Mapa final'!$AC$26="Moderado"),CONCATENATE("R3C",'Mapa final'!$Q$26),"")</f>
        <v/>
      </c>
      <c r="AB28" s="52" t="str">
        <f>IF(AND('Mapa final'!$AA$21="Media",'Mapa final'!$AC$21="Mayor"),CONCATENATE("R3C",'Mapa final'!$Q$21),"")</f>
        <v/>
      </c>
      <c r="AC28" s="53" t="str">
        <f>IF(AND('Mapa final'!$AA$22="Media",'Mapa final'!$AC$22="Mayor"),CONCATENATE("R3C",'Mapa final'!$Q$22),"")</f>
        <v/>
      </c>
      <c r="AD28" s="53" t="str">
        <f>IF(AND('Mapa final'!$AA$23="Media",'Mapa final'!$AC$23="Mayor"),CONCATENATE("R3C",'Mapa final'!$Q$23),"")</f>
        <v/>
      </c>
      <c r="AE28" s="53" t="str">
        <f>IF(AND('Mapa final'!$AA$24="Media",'Mapa final'!$AC$24="Mayor"),CONCATENATE("R3C",'Mapa final'!$Q$24),"")</f>
        <v/>
      </c>
      <c r="AF28" s="53" t="str">
        <f>IF(AND('Mapa final'!$AA$25="Media",'Mapa final'!$AC$25="Mayor"),CONCATENATE("R3C",'Mapa final'!$Q$25),"")</f>
        <v/>
      </c>
      <c r="AG28" s="54" t="str">
        <f>IF(AND('Mapa final'!$AA$26="Media",'Mapa final'!$AC$26="Mayor"),CONCATENATE("R3C",'Mapa final'!$Q$26),"")</f>
        <v/>
      </c>
      <c r="AH28" s="55" t="str">
        <f>IF(AND('Mapa final'!$AA$21="Media",'Mapa final'!$AC$21="Catastrófico"),CONCATENATE("R3C",'Mapa final'!$Q$21),"")</f>
        <v/>
      </c>
      <c r="AI28" s="56" t="str">
        <f>IF(AND('Mapa final'!$AA$22="Media",'Mapa final'!$AC$22="Catastrófico"),CONCATENATE("R3C",'Mapa final'!$Q$22),"")</f>
        <v/>
      </c>
      <c r="AJ28" s="56" t="str">
        <f>IF(AND('Mapa final'!$AA$23="Media",'Mapa final'!$AC$23="Catastrófico"),CONCATENATE("R3C",'Mapa final'!$Q$23),"")</f>
        <v/>
      </c>
      <c r="AK28" s="56" t="str">
        <f>IF(AND('Mapa final'!$AA$24="Media",'Mapa final'!$AC$24="Catastrófico"),CONCATENATE("R3C",'Mapa final'!$Q$24),"")</f>
        <v/>
      </c>
      <c r="AL28" s="56" t="str">
        <f>IF(AND('Mapa final'!$AA$25="Media",'Mapa final'!$AC$25="Catastrófico"),CONCATENATE("R3C",'Mapa final'!$Q$25),"")</f>
        <v/>
      </c>
      <c r="AM28" s="57" t="str">
        <f>IF(AND('Mapa final'!$AA$26="Media",'Mapa final'!$AC$26="Catastrófico"),CONCATENATE("R3C",'Mapa final'!$Q$26),"")</f>
        <v/>
      </c>
      <c r="AN28" s="84"/>
      <c r="AO28" s="413"/>
      <c r="AP28" s="414"/>
      <c r="AQ28" s="414"/>
      <c r="AR28" s="414"/>
      <c r="AS28" s="414"/>
      <c r="AT28" s="415"/>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2"/>
      <c r="C29" s="282"/>
      <c r="D29" s="283"/>
      <c r="E29" s="383"/>
      <c r="F29" s="384"/>
      <c r="G29" s="384"/>
      <c r="H29" s="384"/>
      <c r="I29" s="399"/>
      <c r="J29" s="68" t="str">
        <f>IF(AND('Mapa final'!$AA$27="Media",'Mapa final'!$AC$27="Leve"),CONCATENATE("R4C",'Mapa final'!$Q$27),"")</f>
        <v/>
      </c>
      <c r="K29" s="69" t="str">
        <f>IF(AND('Mapa final'!$AA$28="Media",'Mapa final'!$AC$28="Leve"),CONCATENATE("R4C",'Mapa final'!$Q$28),"")</f>
        <v/>
      </c>
      <c r="L29" s="69" t="str">
        <f>IF(AND('Mapa final'!$AA$29="Media",'Mapa final'!$AC$29="Leve"),CONCATENATE("R4C",'Mapa final'!$Q$29),"")</f>
        <v/>
      </c>
      <c r="M29" s="69" t="str">
        <f>IF(AND('Mapa final'!$AA$30="Media",'Mapa final'!$AC$30="Leve"),CONCATENATE("R4C",'Mapa final'!$Q$30),"")</f>
        <v/>
      </c>
      <c r="N29" s="69" t="str">
        <f>IF(AND('Mapa final'!$AA$31="Media",'Mapa final'!$AC$31="Leve"),CONCATENATE("R4C",'Mapa final'!$Q$31),"")</f>
        <v/>
      </c>
      <c r="O29" s="70" t="str">
        <f>IF(AND('Mapa final'!$AA$32="Media",'Mapa final'!$AC$32="Leve"),CONCATENATE("R4C",'Mapa final'!$Q$32),"")</f>
        <v/>
      </c>
      <c r="P29" s="68" t="str">
        <f>IF(AND('Mapa final'!$AA$27="Media",'Mapa final'!$AC$27="Menor"),CONCATENATE("R4C",'Mapa final'!$Q$27),"")</f>
        <v/>
      </c>
      <c r="Q29" s="69" t="str">
        <f>IF(AND('Mapa final'!$AA$28="Media",'Mapa final'!$AC$28="Menor"),CONCATENATE("R4C",'Mapa final'!$Q$28),"")</f>
        <v/>
      </c>
      <c r="R29" s="69" t="str">
        <f>IF(AND('Mapa final'!$AA$29="Media",'Mapa final'!$AC$29="Menor"),CONCATENATE("R4C",'Mapa final'!$Q$29),"")</f>
        <v/>
      </c>
      <c r="S29" s="69" t="str">
        <f>IF(AND('Mapa final'!$AA$30="Media",'Mapa final'!$AC$30="Menor"),CONCATENATE("R4C",'Mapa final'!$Q$30),"")</f>
        <v/>
      </c>
      <c r="T29" s="69" t="str">
        <f>IF(AND('Mapa final'!$AA$31="Media",'Mapa final'!$AC$31="Menor"),CONCATENATE("R4C",'Mapa final'!$Q$31),"")</f>
        <v/>
      </c>
      <c r="U29" s="70" t="str">
        <f>IF(AND('Mapa final'!$AA$32="Media",'Mapa final'!$AC$32="Menor"),CONCATENATE("R4C",'Mapa final'!$Q$32),"")</f>
        <v/>
      </c>
      <c r="V29" s="68" t="str">
        <f>IF(AND('Mapa final'!$AA$27="Media",'Mapa final'!$AC$27="Moderado"),CONCATENATE("R4C",'Mapa final'!$Q$27),"")</f>
        <v/>
      </c>
      <c r="W29" s="69" t="str">
        <f>IF(AND('Mapa final'!$AA$28="Media",'Mapa final'!$AC$28="Moderado"),CONCATENATE("R4C",'Mapa final'!$Q$28),"")</f>
        <v/>
      </c>
      <c r="X29" s="69" t="str">
        <f>IF(AND('Mapa final'!$AA$29="Media",'Mapa final'!$AC$29="Moderado"),CONCATENATE("R4C",'Mapa final'!$Q$29),"")</f>
        <v/>
      </c>
      <c r="Y29" s="69" t="str">
        <f>IF(AND('Mapa final'!$AA$30="Media",'Mapa final'!$AC$30="Moderado"),CONCATENATE("R4C",'Mapa final'!$Q$30),"")</f>
        <v/>
      </c>
      <c r="Z29" s="69" t="str">
        <f>IF(AND('Mapa final'!$AA$31="Media",'Mapa final'!$AC$31="Moderado"),CONCATENATE("R4C",'Mapa final'!$Q$31),"")</f>
        <v/>
      </c>
      <c r="AA29" s="70" t="str">
        <f>IF(AND('Mapa final'!$AA$32="Media",'Mapa final'!$AC$32="Moderado"),CONCATENATE("R4C",'Mapa final'!$Q$32),"")</f>
        <v/>
      </c>
      <c r="AB29" s="52" t="str">
        <f>IF(AND('Mapa final'!$AA$27="Media",'Mapa final'!$AC$27="Mayor"),CONCATENATE("R4C",'Mapa final'!$Q$27),"")</f>
        <v/>
      </c>
      <c r="AC29" s="53" t="str">
        <f>IF(AND('Mapa final'!$AA$28="Media",'Mapa final'!$AC$28="Mayor"),CONCATENATE("R4C",'Mapa final'!$Q$28),"")</f>
        <v/>
      </c>
      <c r="AD29" s="58" t="str">
        <f>IF(AND('Mapa final'!$AA$29="Media",'Mapa final'!$AC$29="Mayor"),CONCATENATE("R4C",'Mapa final'!$Q$29),"")</f>
        <v/>
      </c>
      <c r="AE29" s="58" t="str">
        <f>IF(AND('Mapa final'!$AA$30="Media",'Mapa final'!$AC$30="Mayor"),CONCATENATE("R4C",'Mapa final'!$Q$30),"")</f>
        <v/>
      </c>
      <c r="AF29" s="58" t="str">
        <f>IF(AND('Mapa final'!$AA$31="Media",'Mapa final'!$AC$31="Mayor"),CONCATENATE("R4C",'Mapa final'!$Q$31),"")</f>
        <v/>
      </c>
      <c r="AG29" s="54" t="str">
        <f>IF(AND('Mapa final'!$AA$32="Media",'Mapa final'!$AC$32="Mayor"),CONCATENATE("R4C",'Mapa final'!$Q$32),"")</f>
        <v/>
      </c>
      <c r="AH29" s="55" t="str">
        <f>IF(AND('Mapa final'!$AA$27="Media",'Mapa final'!$AC$27="Catastrófico"),CONCATENATE("R4C",'Mapa final'!$Q$27),"")</f>
        <v/>
      </c>
      <c r="AI29" s="56" t="str">
        <f>IF(AND('Mapa final'!$AA$28="Media",'Mapa final'!$AC$28="Catastrófico"),CONCATENATE("R4C",'Mapa final'!$Q$28),"")</f>
        <v/>
      </c>
      <c r="AJ29" s="56" t="str">
        <f>IF(AND('Mapa final'!$AA$29="Media",'Mapa final'!$AC$29="Catastrófico"),CONCATENATE("R4C",'Mapa final'!$Q$29),"")</f>
        <v/>
      </c>
      <c r="AK29" s="56" t="str">
        <f>IF(AND('Mapa final'!$AA$30="Media",'Mapa final'!$AC$30="Catastrófico"),CONCATENATE("R4C",'Mapa final'!$Q$30),"")</f>
        <v/>
      </c>
      <c r="AL29" s="56" t="str">
        <f>IF(AND('Mapa final'!$AA$31="Media",'Mapa final'!$AC$31="Catastrófico"),CONCATENATE("R4C",'Mapa final'!$Q$31),"")</f>
        <v/>
      </c>
      <c r="AM29" s="57" t="str">
        <f>IF(AND('Mapa final'!$AA$32="Media",'Mapa final'!$AC$32="Catastrófico"),CONCATENATE("R4C",'Mapa final'!$Q$32),"")</f>
        <v/>
      </c>
      <c r="AN29" s="84"/>
      <c r="AO29" s="413"/>
      <c r="AP29" s="414"/>
      <c r="AQ29" s="414"/>
      <c r="AR29" s="414"/>
      <c r="AS29" s="414"/>
      <c r="AT29" s="415"/>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2"/>
      <c r="C30" s="282"/>
      <c r="D30" s="283"/>
      <c r="E30" s="383"/>
      <c r="F30" s="384"/>
      <c r="G30" s="384"/>
      <c r="H30" s="384"/>
      <c r="I30" s="399"/>
      <c r="J30" s="68" t="str">
        <f>IF(AND('Mapa final'!$AA$33="Media",'Mapa final'!$AC$33="Leve"),CONCATENATE("R5C",'Mapa final'!$Q$33),"")</f>
        <v/>
      </c>
      <c r="K30" s="69" t="str">
        <f>IF(AND('Mapa final'!$AA$34="Media",'Mapa final'!$AC$34="Leve"),CONCATENATE("R5C",'Mapa final'!$Q$34),"")</f>
        <v/>
      </c>
      <c r="L30" s="69" t="str">
        <f>IF(AND('Mapa final'!$AA$35="Media",'Mapa final'!$AC$35="Leve"),CONCATENATE("R5C",'Mapa final'!$Q$35),"")</f>
        <v/>
      </c>
      <c r="M30" s="69" t="str">
        <f>IF(AND('Mapa final'!$AA$36="Media",'Mapa final'!$AC$36="Leve"),CONCATENATE("R5C",'Mapa final'!$Q$36),"")</f>
        <v/>
      </c>
      <c r="N30" s="69" t="str">
        <f>IF(AND('Mapa final'!$AA$37="Media",'Mapa final'!$AC$37="Leve"),CONCATENATE("R5C",'Mapa final'!$Q$37),"")</f>
        <v/>
      </c>
      <c r="O30" s="70" t="str">
        <f>IF(AND('Mapa final'!$AA$38="Media",'Mapa final'!$AC$38="Leve"),CONCATENATE("R5C",'Mapa final'!$Q$38),"")</f>
        <v/>
      </c>
      <c r="P30" s="68" t="str">
        <f>IF(AND('Mapa final'!$AA$33="Media",'Mapa final'!$AC$33="Menor"),CONCATENATE("R5C",'Mapa final'!$Q$33),"")</f>
        <v/>
      </c>
      <c r="Q30" s="69" t="str">
        <f>IF(AND('Mapa final'!$AA$34="Media",'Mapa final'!$AC$34="Menor"),CONCATENATE("R5C",'Mapa final'!$Q$34),"")</f>
        <v/>
      </c>
      <c r="R30" s="69" t="str">
        <f>IF(AND('Mapa final'!$AA$35="Media",'Mapa final'!$AC$35="Menor"),CONCATENATE("R5C",'Mapa final'!$Q$35),"")</f>
        <v/>
      </c>
      <c r="S30" s="69" t="str">
        <f>IF(AND('Mapa final'!$AA$36="Media",'Mapa final'!$AC$36="Menor"),CONCATENATE("R5C",'Mapa final'!$Q$36),"")</f>
        <v/>
      </c>
      <c r="T30" s="69" t="str">
        <f>IF(AND('Mapa final'!$AA$37="Media",'Mapa final'!$AC$37="Menor"),CONCATENATE("R5C",'Mapa final'!$Q$37),"")</f>
        <v/>
      </c>
      <c r="U30" s="70" t="str">
        <f>IF(AND('Mapa final'!$AA$38="Media",'Mapa final'!$AC$38="Menor"),CONCATENATE("R5C",'Mapa final'!$Q$38),"")</f>
        <v/>
      </c>
      <c r="V30" s="68" t="str">
        <f>IF(AND('Mapa final'!$AA$33="Media",'Mapa final'!$AC$33="Moderado"),CONCATENATE("R5C",'Mapa final'!$Q$33),"")</f>
        <v/>
      </c>
      <c r="W30" s="69" t="str">
        <f>IF(AND('Mapa final'!$AA$34="Media",'Mapa final'!$AC$34="Moderado"),CONCATENATE("R5C",'Mapa final'!$Q$34),"")</f>
        <v/>
      </c>
      <c r="X30" s="69" t="str">
        <f>IF(AND('Mapa final'!$AA$35="Media",'Mapa final'!$AC$35="Moderado"),CONCATENATE("R5C",'Mapa final'!$Q$35),"")</f>
        <v/>
      </c>
      <c r="Y30" s="69" t="str">
        <f>IF(AND('Mapa final'!$AA$36="Media",'Mapa final'!$AC$36="Moderado"),CONCATENATE("R5C",'Mapa final'!$Q$36),"")</f>
        <v/>
      </c>
      <c r="Z30" s="69" t="str">
        <f>IF(AND('Mapa final'!$AA$37="Media",'Mapa final'!$AC$37="Moderado"),CONCATENATE("R5C",'Mapa final'!$Q$37),"")</f>
        <v/>
      </c>
      <c r="AA30" s="70" t="str">
        <f>IF(AND('Mapa final'!$AA$38="Media",'Mapa final'!$AC$38="Moderado"),CONCATENATE("R5C",'Mapa final'!$Q$38),"")</f>
        <v/>
      </c>
      <c r="AB30" s="52" t="str">
        <f>IF(AND('Mapa final'!$AA$33="Media",'Mapa final'!$AC$33="Mayor"),CONCATENATE("R5C",'Mapa final'!$Q$33),"")</f>
        <v/>
      </c>
      <c r="AC30" s="53" t="str">
        <f>IF(AND('Mapa final'!$AA$34="Media",'Mapa final'!$AC$34="Mayor"),CONCATENATE("R5C",'Mapa final'!$Q$34),"")</f>
        <v/>
      </c>
      <c r="AD30" s="58" t="str">
        <f>IF(AND('Mapa final'!$AA$35="Media",'Mapa final'!$AC$35="Mayor"),CONCATENATE("R5C",'Mapa final'!$Q$35),"")</f>
        <v/>
      </c>
      <c r="AE30" s="58" t="str">
        <f>IF(AND('Mapa final'!$AA$36="Media",'Mapa final'!$AC$36="Mayor"),CONCATENATE("R5C",'Mapa final'!$Q$36),"")</f>
        <v/>
      </c>
      <c r="AF30" s="58" t="str">
        <f>IF(AND('Mapa final'!$AA$37="Media",'Mapa final'!$AC$37="Mayor"),CONCATENATE("R5C",'Mapa final'!$Q$37),"")</f>
        <v/>
      </c>
      <c r="AG30" s="54" t="str">
        <f>IF(AND('Mapa final'!$AA$38="Media",'Mapa final'!$AC$38="Mayor"),CONCATENATE("R5C",'Mapa final'!$Q$38),"")</f>
        <v/>
      </c>
      <c r="AH30" s="55" t="str">
        <f>IF(AND('Mapa final'!$AA$33="Media",'Mapa final'!$AC$33="Catastrófico"),CONCATENATE("R5C",'Mapa final'!$Q$33),"")</f>
        <v/>
      </c>
      <c r="AI30" s="56" t="str">
        <f>IF(AND('Mapa final'!$AA$34="Media",'Mapa final'!$AC$34="Catastrófico"),CONCATENATE("R5C",'Mapa final'!$Q$34),"")</f>
        <v/>
      </c>
      <c r="AJ30" s="56" t="str">
        <f>IF(AND('Mapa final'!$AA$35="Media",'Mapa final'!$AC$35="Catastrófico"),CONCATENATE("R5C",'Mapa final'!$Q$35),"")</f>
        <v/>
      </c>
      <c r="AK30" s="56" t="str">
        <f>IF(AND('Mapa final'!$AA$36="Media",'Mapa final'!$AC$36="Catastrófico"),CONCATENATE("R5C",'Mapa final'!$Q$36),"")</f>
        <v/>
      </c>
      <c r="AL30" s="56" t="str">
        <f>IF(AND('Mapa final'!$AA$37="Media",'Mapa final'!$AC$37="Catastrófico"),CONCATENATE("R5C",'Mapa final'!$Q$37),"")</f>
        <v/>
      </c>
      <c r="AM30" s="57" t="str">
        <f>IF(AND('Mapa final'!$AA$38="Media",'Mapa final'!$AC$38="Catastrófico"),CONCATENATE("R5C",'Mapa final'!$Q$38),"")</f>
        <v/>
      </c>
      <c r="AN30" s="84"/>
      <c r="AO30" s="413"/>
      <c r="AP30" s="414"/>
      <c r="AQ30" s="414"/>
      <c r="AR30" s="414"/>
      <c r="AS30" s="414"/>
      <c r="AT30" s="415"/>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2"/>
      <c r="C31" s="282"/>
      <c r="D31" s="283"/>
      <c r="E31" s="383"/>
      <c r="F31" s="384"/>
      <c r="G31" s="384"/>
      <c r="H31" s="384"/>
      <c r="I31" s="399"/>
      <c r="J31" s="68" t="str">
        <f>IF(AND('Mapa final'!$AA$39="Media",'Mapa final'!$AC$39="Leve"),CONCATENATE("R6C",'Mapa final'!$Q$39),"")</f>
        <v/>
      </c>
      <c r="K31" s="69" t="str">
        <f>IF(AND('Mapa final'!$AA$40="Media",'Mapa final'!$AC$40="Leve"),CONCATENATE("R6C",'Mapa final'!$Q$40),"")</f>
        <v/>
      </c>
      <c r="L31" s="69" t="str">
        <f>IF(AND('Mapa final'!$AA$41="Media",'Mapa final'!$AC$41="Leve"),CONCATENATE("R6C",'Mapa final'!$Q$41),"")</f>
        <v/>
      </c>
      <c r="M31" s="69" t="str">
        <f>IF(AND('Mapa final'!$AA$42="Media",'Mapa final'!$AC$42="Leve"),CONCATENATE("R6C",'Mapa final'!$Q$42),"")</f>
        <v/>
      </c>
      <c r="N31" s="69" t="str">
        <f>IF(AND('Mapa final'!$AA$43="Media",'Mapa final'!$AC$43="Leve"),CONCATENATE("R6C",'Mapa final'!$Q$43),"")</f>
        <v/>
      </c>
      <c r="O31" s="70" t="str">
        <f>IF(AND('Mapa final'!$AA$44="Media",'Mapa final'!$AC$44="Leve"),CONCATENATE("R6C",'Mapa final'!$Q$44),"")</f>
        <v/>
      </c>
      <c r="P31" s="68" t="str">
        <f>IF(AND('Mapa final'!$AA$39="Media",'Mapa final'!$AC$39="Menor"),CONCATENATE("R6C",'Mapa final'!$Q$39),"")</f>
        <v/>
      </c>
      <c r="Q31" s="69" t="str">
        <f>IF(AND('Mapa final'!$AA$40="Media",'Mapa final'!$AC$40="Menor"),CONCATENATE("R6C",'Mapa final'!$Q$40),"")</f>
        <v/>
      </c>
      <c r="R31" s="69" t="str">
        <f>IF(AND('Mapa final'!$AA$41="Media",'Mapa final'!$AC$41="Menor"),CONCATENATE("R6C",'Mapa final'!$Q$41),"")</f>
        <v/>
      </c>
      <c r="S31" s="69" t="str">
        <f>IF(AND('Mapa final'!$AA$42="Media",'Mapa final'!$AC$42="Menor"),CONCATENATE("R6C",'Mapa final'!$Q$42),"")</f>
        <v/>
      </c>
      <c r="T31" s="69" t="str">
        <f>IF(AND('Mapa final'!$AA$43="Media",'Mapa final'!$AC$43="Menor"),CONCATENATE("R6C",'Mapa final'!$Q$43),"")</f>
        <v/>
      </c>
      <c r="U31" s="70" t="str">
        <f>IF(AND('Mapa final'!$AA$44="Media",'Mapa final'!$AC$44="Menor"),CONCATENATE("R6C",'Mapa final'!$Q$44),"")</f>
        <v/>
      </c>
      <c r="V31" s="68" t="str">
        <f>IF(AND('Mapa final'!$AA$39="Media",'Mapa final'!$AC$39="Moderado"),CONCATENATE("R6C",'Mapa final'!$Q$39),"")</f>
        <v/>
      </c>
      <c r="W31" s="69" t="str">
        <f>IF(AND('Mapa final'!$AA$40="Media",'Mapa final'!$AC$40="Moderado"),CONCATENATE("R6C",'Mapa final'!$Q$40),"")</f>
        <v/>
      </c>
      <c r="X31" s="69" t="str">
        <f>IF(AND('Mapa final'!$AA$41="Media",'Mapa final'!$AC$41="Moderado"),CONCATENATE("R6C",'Mapa final'!$Q$41),"")</f>
        <v/>
      </c>
      <c r="Y31" s="69" t="str">
        <f>IF(AND('Mapa final'!$AA$42="Media",'Mapa final'!$AC$42="Moderado"),CONCATENATE("R6C",'Mapa final'!$Q$42),"")</f>
        <v/>
      </c>
      <c r="Z31" s="69" t="str">
        <f>IF(AND('Mapa final'!$AA$43="Media",'Mapa final'!$AC$43="Moderado"),CONCATENATE("R6C",'Mapa final'!$Q$43),"")</f>
        <v/>
      </c>
      <c r="AA31" s="70" t="str">
        <f>IF(AND('Mapa final'!$AA$44="Media",'Mapa final'!$AC$44="Moderado"),CONCATENATE("R6C",'Mapa final'!$Q$44),"")</f>
        <v/>
      </c>
      <c r="AB31" s="52" t="str">
        <f>IF(AND('Mapa final'!$AA$39="Media",'Mapa final'!$AC$39="Mayor"),CONCATENATE("R6C",'Mapa final'!$Q$39),"")</f>
        <v/>
      </c>
      <c r="AC31" s="53" t="str">
        <f>IF(AND('Mapa final'!$AA$40="Media",'Mapa final'!$AC$40="Mayor"),CONCATENATE("R6C",'Mapa final'!$Q$40),"")</f>
        <v/>
      </c>
      <c r="AD31" s="58" t="str">
        <f>IF(AND('Mapa final'!$AA$41="Media",'Mapa final'!$AC$41="Mayor"),CONCATENATE("R6C",'Mapa final'!$Q$41),"")</f>
        <v/>
      </c>
      <c r="AE31" s="58" t="str">
        <f>IF(AND('Mapa final'!$AA$42="Media",'Mapa final'!$AC$42="Mayor"),CONCATENATE("R6C",'Mapa final'!$Q$42),"")</f>
        <v/>
      </c>
      <c r="AF31" s="58" t="str">
        <f>IF(AND('Mapa final'!$AA$43="Media",'Mapa final'!$AC$43="Mayor"),CONCATENATE("R6C",'Mapa final'!$Q$43),"")</f>
        <v/>
      </c>
      <c r="AG31" s="54" t="str">
        <f>IF(AND('Mapa final'!$AA$44="Media",'Mapa final'!$AC$44="Mayor"),CONCATENATE("R6C",'Mapa final'!$Q$44),"")</f>
        <v/>
      </c>
      <c r="AH31" s="55" t="str">
        <f>IF(AND('Mapa final'!$AA$39="Media",'Mapa final'!$AC$39="Catastrófico"),CONCATENATE("R6C",'Mapa final'!$Q$39),"")</f>
        <v/>
      </c>
      <c r="AI31" s="56" t="str">
        <f>IF(AND('Mapa final'!$AA$40="Media",'Mapa final'!$AC$40="Catastrófico"),CONCATENATE("R6C",'Mapa final'!$Q$40),"")</f>
        <v/>
      </c>
      <c r="AJ31" s="56" t="str">
        <f>IF(AND('Mapa final'!$AA$41="Media",'Mapa final'!$AC$41="Catastrófico"),CONCATENATE("R6C",'Mapa final'!$Q$41),"")</f>
        <v/>
      </c>
      <c r="AK31" s="56" t="str">
        <f>IF(AND('Mapa final'!$AA$42="Media",'Mapa final'!$AC$42="Catastrófico"),CONCATENATE("R6C",'Mapa final'!$Q$42),"")</f>
        <v/>
      </c>
      <c r="AL31" s="56" t="str">
        <f>IF(AND('Mapa final'!$AA$43="Media",'Mapa final'!$AC$43="Catastrófico"),CONCATENATE("R6C",'Mapa final'!$Q$43),"")</f>
        <v/>
      </c>
      <c r="AM31" s="57" t="str">
        <f>IF(AND('Mapa final'!$AA$44="Media",'Mapa final'!$AC$44="Catastrófico"),CONCATENATE("R6C",'Mapa final'!$Q$44),"")</f>
        <v/>
      </c>
      <c r="AN31" s="84"/>
      <c r="AO31" s="413"/>
      <c r="AP31" s="414"/>
      <c r="AQ31" s="414"/>
      <c r="AR31" s="414"/>
      <c r="AS31" s="414"/>
      <c r="AT31" s="415"/>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2"/>
      <c r="C32" s="282"/>
      <c r="D32" s="283"/>
      <c r="E32" s="383"/>
      <c r="F32" s="384"/>
      <c r="G32" s="384"/>
      <c r="H32" s="384"/>
      <c r="I32" s="399"/>
      <c r="J32" s="68" t="str">
        <f>IF(AND('Mapa final'!$AA$45="Media",'Mapa final'!$AC$45="Leve"),CONCATENATE("R7C",'Mapa final'!$Q$45),"")</f>
        <v/>
      </c>
      <c r="K32" s="69" t="str">
        <f>IF(AND('Mapa final'!$AA$46="Media",'Mapa final'!$AC$46="Leve"),CONCATENATE("R7C",'Mapa final'!$Q$46),"")</f>
        <v/>
      </c>
      <c r="L32" s="69" t="str">
        <f>IF(AND('Mapa final'!$AA$47="Media",'Mapa final'!$AC$47="Leve"),CONCATENATE("R7C",'Mapa final'!$Q$47),"")</f>
        <v/>
      </c>
      <c r="M32" s="69" t="str">
        <f>IF(AND('Mapa final'!$AA$48="Media",'Mapa final'!$AC$48="Leve"),CONCATENATE("R7C",'Mapa final'!$Q$48),"")</f>
        <v/>
      </c>
      <c r="N32" s="69" t="str">
        <f>IF(AND('Mapa final'!$AA$49="Media",'Mapa final'!$AC$49="Leve"),CONCATENATE("R7C",'Mapa final'!$Q$49),"")</f>
        <v/>
      </c>
      <c r="O32" s="70" t="str">
        <f>IF(AND('Mapa final'!$AA$50="Media",'Mapa final'!$AC$50="Leve"),CONCATENATE("R7C",'Mapa final'!$Q$50),"")</f>
        <v/>
      </c>
      <c r="P32" s="68" t="str">
        <f>IF(AND('Mapa final'!$AA$45="Media",'Mapa final'!$AC$45="Menor"),CONCATENATE("R7C",'Mapa final'!$Q$45),"")</f>
        <v/>
      </c>
      <c r="Q32" s="69" t="str">
        <f>IF(AND('Mapa final'!$AA$46="Media",'Mapa final'!$AC$46="Menor"),CONCATENATE("R7C",'Mapa final'!$Q$46),"")</f>
        <v/>
      </c>
      <c r="R32" s="69" t="str">
        <f>IF(AND('Mapa final'!$AA$47="Media",'Mapa final'!$AC$47="Menor"),CONCATENATE("R7C",'Mapa final'!$Q$47),"")</f>
        <v/>
      </c>
      <c r="S32" s="69" t="str">
        <f>IF(AND('Mapa final'!$AA$48="Media",'Mapa final'!$AC$48="Menor"),CONCATENATE("R7C",'Mapa final'!$Q$48),"")</f>
        <v/>
      </c>
      <c r="T32" s="69" t="str">
        <f>IF(AND('Mapa final'!$AA$49="Media",'Mapa final'!$AC$49="Menor"),CONCATENATE("R7C",'Mapa final'!$Q$49),"")</f>
        <v/>
      </c>
      <c r="U32" s="70" t="str">
        <f>IF(AND('Mapa final'!$AA$50="Media",'Mapa final'!$AC$50="Menor"),CONCATENATE("R7C",'Mapa final'!$Q$50),"")</f>
        <v/>
      </c>
      <c r="V32" s="68" t="str">
        <f>IF(AND('Mapa final'!$AA$45="Media",'Mapa final'!$AC$45="Moderado"),CONCATENATE("R7C",'Mapa final'!$Q$45),"")</f>
        <v/>
      </c>
      <c r="W32" s="69" t="str">
        <f>IF(AND('Mapa final'!$AA$46="Media",'Mapa final'!$AC$46="Moderado"),CONCATENATE("R7C",'Mapa final'!$Q$46),"")</f>
        <v/>
      </c>
      <c r="X32" s="69" t="str">
        <f>IF(AND('Mapa final'!$AA$47="Media",'Mapa final'!$AC$47="Moderado"),CONCATENATE("R7C",'Mapa final'!$Q$47),"")</f>
        <v/>
      </c>
      <c r="Y32" s="69" t="str">
        <f>IF(AND('Mapa final'!$AA$48="Media",'Mapa final'!$AC$48="Moderado"),CONCATENATE("R7C",'Mapa final'!$Q$48),"")</f>
        <v/>
      </c>
      <c r="Z32" s="69" t="str">
        <f>IF(AND('Mapa final'!$AA$49="Media",'Mapa final'!$AC$49="Moderado"),CONCATENATE("R7C",'Mapa final'!$Q$49),"")</f>
        <v/>
      </c>
      <c r="AA32" s="70" t="str">
        <f>IF(AND('Mapa final'!$AA$50="Media",'Mapa final'!$AC$50="Moderado"),CONCATENATE("R7C",'Mapa final'!$Q$50),"")</f>
        <v/>
      </c>
      <c r="AB32" s="52" t="str">
        <f>IF(AND('Mapa final'!$AA$45="Media",'Mapa final'!$AC$45="Mayor"),CONCATENATE("R7C",'Mapa final'!$Q$45),"")</f>
        <v/>
      </c>
      <c r="AC32" s="53" t="str">
        <f>IF(AND('Mapa final'!$AA$46="Media",'Mapa final'!$AC$46="Mayor"),CONCATENATE("R7C",'Mapa final'!$Q$46),"")</f>
        <v/>
      </c>
      <c r="AD32" s="58" t="str">
        <f>IF(AND('Mapa final'!$AA$47="Media",'Mapa final'!$AC$47="Mayor"),CONCATENATE("R7C",'Mapa final'!$Q$47),"")</f>
        <v/>
      </c>
      <c r="AE32" s="58" t="str">
        <f>IF(AND('Mapa final'!$AA$48="Media",'Mapa final'!$AC$48="Mayor"),CONCATENATE("R7C",'Mapa final'!$Q$48),"")</f>
        <v/>
      </c>
      <c r="AF32" s="58" t="str">
        <f>IF(AND('Mapa final'!$AA$49="Media",'Mapa final'!$AC$49="Mayor"),CONCATENATE("R7C",'Mapa final'!$Q$49),"")</f>
        <v/>
      </c>
      <c r="AG32" s="54" t="str">
        <f>IF(AND('Mapa final'!$AA$50="Media",'Mapa final'!$AC$50="Mayor"),CONCATENATE("R7C",'Mapa final'!$Q$50),"")</f>
        <v/>
      </c>
      <c r="AH32" s="55" t="str">
        <f>IF(AND('Mapa final'!$AA$45="Media",'Mapa final'!$AC$45="Catastrófico"),CONCATENATE("R7C",'Mapa final'!$Q$45),"")</f>
        <v/>
      </c>
      <c r="AI32" s="56" t="str">
        <f>IF(AND('Mapa final'!$AA$46="Media",'Mapa final'!$AC$46="Catastrófico"),CONCATENATE("R7C",'Mapa final'!$Q$46),"")</f>
        <v/>
      </c>
      <c r="AJ32" s="56" t="str">
        <f>IF(AND('Mapa final'!$AA$47="Media",'Mapa final'!$AC$47="Catastrófico"),CONCATENATE("R7C",'Mapa final'!$Q$47),"")</f>
        <v/>
      </c>
      <c r="AK32" s="56" t="str">
        <f>IF(AND('Mapa final'!$AA$48="Media",'Mapa final'!$AC$48="Catastrófico"),CONCATENATE("R7C",'Mapa final'!$Q$48),"")</f>
        <v/>
      </c>
      <c r="AL32" s="56" t="str">
        <f>IF(AND('Mapa final'!$AA$49="Media",'Mapa final'!$AC$49="Catastrófico"),CONCATENATE("R7C",'Mapa final'!$Q$49),"")</f>
        <v/>
      </c>
      <c r="AM32" s="57" t="str">
        <f>IF(AND('Mapa final'!$AA$50="Media",'Mapa final'!$AC$50="Catastrófico"),CONCATENATE("R7C",'Mapa final'!$Q$50),"")</f>
        <v/>
      </c>
      <c r="AN32" s="84"/>
      <c r="AO32" s="413"/>
      <c r="AP32" s="414"/>
      <c r="AQ32" s="414"/>
      <c r="AR32" s="414"/>
      <c r="AS32" s="414"/>
      <c r="AT32" s="415"/>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2"/>
      <c r="C33" s="282"/>
      <c r="D33" s="283"/>
      <c r="E33" s="383"/>
      <c r="F33" s="384"/>
      <c r="G33" s="384"/>
      <c r="H33" s="384"/>
      <c r="I33" s="399"/>
      <c r="J33" s="68" t="str">
        <f>IF(AND('Mapa final'!$AA$51="Media",'Mapa final'!$AC$51="Leve"),CONCATENATE("R8C",'Mapa final'!$Q$51),"")</f>
        <v/>
      </c>
      <c r="K33" s="69" t="str">
        <f>IF(AND('Mapa final'!$AA$52="Media",'Mapa final'!$AC$52="Leve"),CONCATENATE("R8C",'Mapa final'!$Q$52),"")</f>
        <v/>
      </c>
      <c r="L33" s="69" t="str">
        <f>IF(AND('Mapa final'!$AA$53="Media",'Mapa final'!$AC$53="Leve"),CONCATENATE("R8C",'Mapa final'!$Q$53),"")</f>
        <v/>
      </c>
      <c r="M33" s="69" t="str">
        <f>IF(AND('Mapa final'!$AA$54="Media",'Mapa final'!$AC$54="Leve"),CONCATENATE("R8C",'Mapa final'!$Q$54),"")</f>
        <v/>
      </c>
      <c r="N33" s="69" t="str">
        <f>IF(AND('Mapa final'!$AA$55="Media",'Mapa final'!$AC$55="Leve"),CONCATENATE("R8C",'Mapa final'!$Q$55),"")</f>
        <v/>
      </c>
      <c r="O33" s="70" t="str">
        <f>IF(AND('Mapa final'!$AA$56="Media",'Mapa final'!$AC$56="Leve"),CONCATENATE("R8C",'Mapa final'!$Q$56),"")</f>
        <v/>
      </c>
      <c r="P33" s="68" t="str">
        <f>IF(AND('Mapa final'!$AA$51="Media",'Mapa final'!$AC$51="Menor"),CONCATENATE("R8C",'Mapa final'!$Q$51),"")</f>
        <v/>
      </c>
      <c r="Q33" s="69" t="str">
        <f>IF(AND('Mapa final'!$AA$52="Media",'Mapa final'!$AC$52="Menor"),CONCATENATE("R8C",'Mapa final'!$Q$52),"")</f>
        <v/>
      </c>
      <c r="R33" s="69" t="str">
        <f>IF(AND('Mapa final'!$AA$53="Media",'Mapa final'!$AC$53="Menor"),CONCATENATE("R8C",'Mapa final'!$Q$53),"")</f>
        <v/>
      </c>
      <c r="S33" s="69" t="str">
        <f>IF(AND('Mapa final'!$AA$54="Media",'Mapa final'!$AC$54="Menor"),CONCATENATE("R8C",'Mapa final'!$Q$54),"")</f>
        <v/>
      </c>
      <c r="T33" s="69" t="str">
        <f>IF(AND('Mapa final'!$AA$55="Media",'Mapa final'!$AC$55="Menor"),CONCATENATE("R8C",'Mapa final'!$Q$55),"")</f>
        <v/>
      </c>
      <c r="U33" s="70" t="str">
        <f>IF(AND('Mapa final'!$AA$56="Media",'Mapa final'!$AC$56="Menor"),CONCATENATE("R8C",'Mapa final'!$Q$56),"")</f>
        <v/>
      </c>
      <c r="V33" s="68" t="str">
        <f>IF(AND('Mapa final'!$AA$51="Media",'Mapa final'!$AC$51="Moderado"),CONCATENATE("R8C",'Mapa final'!$Q$51),"")</f>
        <v/>
      </c>
      <c r="W33" s="69" t="str">
        <f>IF(AND('Mapa final'!$AA$52="Media",'Mapa final'!$AC$52="Moderado"),CONCATENATE("R8C",'Mapa final'!$Q$52),"")</f>
        <v/>
      </c>
      <c r="X33" s="69" t="str">
        <f>IF(AND('Mapa final'!$AA$53="Media",'Mapa final'!$AC$53="Moderado"),CONCATENATE("R8C",'Mapa final'!$Q$53),"")</f>
        <v/>
      </c>
      <c r="Y33" s="69" t="str">
        <f>IF(AND('Mapa final'!$AA$54="Media",'Mapa final'!$AC$54="Moderado"),CONCATENATE("R8C",'Mapa final'!$Q$54),"")</f>
        <v/>
      </c>
      <c r="Z33" s="69" t="str">
        <f>IF(AND('Mapa final'!$AA$55="Media",'Mapa final'!$AC$55="Moderado"),CONCATENATE("R8C",'Mapa final'!$Q$55),"")</f>
        <v/>
      </c>
      <c r="AA33" s="70" t="str">
        <f>IF(AND('Mapa final'!$AA$56="Media",'Mapa final'!$AC$56="Moderado"),CONCATENATE("R8C",'Mapa final'!$Q$56),"")</f>
        <v/>
      </c>
      <c r="AB33" s="52" t="str">
        <f>IF(AND('Mapa final'!$AA$51="Media",'Mapa final'!$AC$51="Mayor"),CONCATENATE("R8C",'Mapa final'!$Q$51),"")</f>
        <v/>
      </c>
      <c r="AC33" s="53" t="str">
        <f>IF(AND('Mapa final'!$AA$52="Media",'Mapa final'!$AC$52="Mayor"),CONCATENATE("R8C",'Mapa final'!$Q$52),"")</f>
        <v/>
      </c>
      <c r="AD33" s="58" t="str">
        <f>IF(AND('Mapa final'!$AA$53="Media",'Mapa final'!$AC$53="Mayor"),CONCATENATE("R8C",'Mapa final'!$Q$53),"")</f>
        <v/>
      </c>
      <c r="AE33" s="58" t="str">
        <f>IF(AND('Mapa final'!$AA$54="Media",'Mapa final'!$AC$54="Mayor"),CONCATENATE("R8C",'Mapa final'!$Q$54),"")</f>
        <v/>
      </c>
      <c r="AF33" s="58" t="str">
        <f>IF(AND('Mapa final'!$AA$55="Media",'Mapa final'!$AC$55="Mayor"),CONCATENATE("R8C",'Mapa final'!$Q$55),"")</f>
        <v/>
      </c>
      <c r="AG33" s="54" t="str">
        <f>IF(AND('Mapa final'!$AA$56="Media",'Mapa final'!$AC$56="Mayor"),CONCATENATE("R8C",'Mapa final'!$Q$56),"")</f>
        <v/>
      </c>
      <c r="AH33" s="55" t="str">
        <f>IF(AND('Mapa final'!$AA$51="Media",'Mapa final'!$AC$51="Catastrófico"),CONCATENATE("R8C",'Mapa final'!$Q$51),"")</f>
        <v/>
      </c>
      <c r="AI33" s="56" t="str">
        <f>IF(AND('Mapa final'!$AA$52="Media",'Mapa final'!$AC$52="Catastrófico"),CONCATENATE("R8C",'Mapa final'!$Q$52),"")</f>
        <v/>
      </c>
      <c r="AJ33" s="56" t="str">
        <f>IF(AND('Mapa final'!$AA$53="Media",'Mapa final'!$AC$53="Catastrófico"),CONCATENATE("R8C",'Mapa final'!$Q$53),"")</f>
        <v/>
      </c>
      <c r="AK33" s="56" t="str">
        <f>IF(AND('Mapa final'!$AA$54="Media",'Mapa final'!$AC$54="Catastrófico"),CONCATENATE("R8C",'Mapa final'!$Q$54),"")</f>
        <v/>
      </c>
      <c r="AL33" s="56" t="str">
        <f>IF(AND('Mapa final'!$AA$55="Media",'Mapa final'!$AC$55="Catastrófico"),CONCATENATE("R8C",'Mapa final'!$Q$55),"")</f>
        <v/>
      </c>
      <c r="AM33" s="57" t="str">
        <f>IF(AND('Mapa final'!$AA$56="Media",'Mapa final'!$AC$56="Catastrófico"),CONCATENATE("R8C",'Mapa final'!$Q$56),"")</f>
        <v/>
      </c>
      <c r="AN33" s="84"/>
      <c r="AO33" s="413"/>
      <c r="AP33" s="414"/>
      <c r="AQ33" s="414"/>
      <c r="AR33" s="414"/>
      <c r="AS33" s="414"/>
      <c r="AT33" s="415"/>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2"/>
      <c r="C34" s="282"/>
      <c r="D34" s="283"/>
      <c r="E34" s="383"/>
      <c r="F34" s="384"/>
      <c r="G34" s="384"/>
      <c r="H34" s="384"/>
      <c r="I34" s="399"/>
      <c r="J34" s="68" t="str">
        <f>IF(AND('Mapa final'!$AA$57="Media",'Mapa final'!$AC$57="Leve"),CONCATENATE("R9C",'Mapa final'!$Q$57),"")</f>
        <v/>
      </c>
      <c r="K34" s="69" t="str">
        <f>IF(AND('Mapa final'!$AA$58="Media",'Mapa final'!$AC$58="Leve"),CONCATENATE("R9C",'Mapa final'!$Q$58),"")</f>
        <v/>
      </c>
      <c r="L34" s="69" t="str">
        <f>IF(AND('Mapa final'!$AA$59="Media",'Mapa final'!$AC$59="Leve"),CONCATENATE("R9C",'Mapa final'!$Q$59),"")</f>
        <v/>
      </c>
      <c r="M34" s="69" t="str">
        <f>IF(AND('Mapa final'!$AA$60="Media",'Mapa final'!$AC$60="Leve"),CONCATENATE("R9C",'Mapa final'!$Q$60),"")</f>
        <v/>
      </c>
      <c r="N34" s="69" t="str">
        <f>IF(AND('Mapa final'!$AA$61="Media",'Mapa final'!$AC$61="Leve"),CONCATENATE("R9C",'Mapa final'!$Q$61),"")</f>
        <v/>
      </c>
      <c r="O34" s="70" t="str">
        <f>IF(AND('Mapa final'!$AA$62="Media",'Mapa final'!$AC$62="Leve"),CONCATENATE("R9C",'Mapa final'!$Q$62),"")</f>
        <v/>
      </c>
      <c r="P34" s="68" t="str">
        <f>IF(AND('Mapa final'!$AA$57="Media",'Mapa final'!$AC$57="Menor"),CONCATENATE("R9C",'Mapa final'!$Q$57),"")</f>
        <v/>
      </c>
      <c r="Q34" s="69" t="str">
        <f>IF(AND('Mapa final'!$AA$58="Media",'Mapa final'!$AC$58="Menor"),CONCATENATE("R9C",'Mapa final'!$Q$58),"")</f>
        <v/>
      </c>
      <c r="R34" s="69" t="str">
        <f>IF(AND('Mapa final'!$AA$59="Media",'Mapa final'!$AC$59="Menor"),CONCATENATE("R9C",'Mapa final'!$Q$59),"")</f>
        <v/>
      </c>
      <c r="S34" s="69" t="str">
        <f>IF(AND('Mapa final'!$AA$60="Media",'Mapa final'!$AC$60="Menor"),CONCATENATE("R9C",'Mapa final'!$Q$60),"")</f>
        <v/>
      </c>
      <c r="T34" s="69" t="str">
        <f>IF(AND('Mapa final'!$AA$61="Media",'Mapa final'!$AC$61="Menor"),CONCATENATE("R9C",'Mapa final'!$Q$61),"")</f>
        <v/>
      </c>
      <c r="U34" s="70" t="str">
        <f>IF(AND('Mapa final'!$AA$62="Media",'Mapa final'!$AC$62="Menor"),CONCATENATE("R9C",'Mapa final'!$Q$62),"")</f>
        <v/>
      </c>
      <c r="V34" s="68" t="str">
        <f>IF(AND('Mapa final'!$AA$57="Media",'Mapa final'!$AC$57="Moderado"),CONCATENATE("R9C",'Mapa final'!$Q$57),"")</f>
        <v/>
      </c>
      <c r="W34" s="69" t="str">
        <f>IF(AND('Mapa final'!$AA$58="Media",'Mapa final'!$AC$58="Moderado"),CONCATENATE("R9C",'Mapa final'!$Q$58),"")</f>
        <v/>
      </c>
      <c r="X34" s="69" t="str">
        <f>IF(AND('Mapa final'!$AA$59="Media",'Mapa final'!$AC$59="Moderado"),CONCATENATE("R9C",'Mapa final'!$Q$59),"")</f>
        <v/>
      </c>
      <c r="Y34" s="69" t="str">
        <f>IF(AND('Mapa final'!$AA$60="Media",'Mapa final'!$AC$60="Moderado"),CONCATENATE("R9C",'Mapa final'!$Q$60),"")</f>
        <v/>
      </c>
      <c r="Z34" s="69" t="str">
        <f>IF(AND('Mapa final'!$AA$61="Media",'Mapa final'!$AC$61="Moderado"),CONCATENATE("R9C",'Mapa final'!$Q$61),"")</f>
        <v/>
      </c>
      <c r="AA34" s="70" t="str">
        <f>IF(AND('Mapa final'!$AA$62="Media",'Mapa final'!$AC$62="Moderado"),CONCATENATE("R9C",'Mapa final'!$Q$62),"")</f>
        <v/>
      </c>
      <c r="AB34" s="52" t="str">
        <f>IF(AND('Mapa final'!$AA$57="Media",'Mapa final'!$AC$57="Mayor"),CONCATENATE("R9C",'Mapa final'!$Q$57),"")</f>
        <v/>
      </c>
      <c r="AC34" s="53" t="str">
        <f>IF(AND('Mapa final'!$AA$58="Media",'Mapa final'!$AC$58="Mayor"),CONCATENATE("R9C",'Mapa final'!$Q$58),"")</f>
        <v/>
      </c>
      <c r="AD34" s="58" t="str">
        <f>IF(AND('Mapa final'!$AA$59="Media",'Mapa final'!$AC$59="Mayor"),CONCATENATE("R9C",'Mapa final'!$Q$59),"")</f>
        <v/>
      </c>
      <c r="AE34" s="58" t="str">
        <f>IF(AND('Mapa final'!$AA$60="Media",'Mapa final'!$AC$60="Mayor"),CONCATENATE("R9C",'Mapa final'!$Q$60),"")</f>
        <v/>
      </c>
      <c r="AF34" s="58" t="str">
        <f>IF(AND('Mapa final'!$AA$61="Media",'Mapa final'!$AC$61="Mayor"),CONCATENATE("R9C",'Mapa final'!$Q$61),"")</f>
        <v/>
      </c>
      <c r="AG34" s="54" t="str">
        <f>IF(AND('Mapa final'!$AA$62="Media",'Mapa final'!$AC$62="Mayor"),CONCATENATE("R9C",'Mapa final'!$Q$62),"")</f>
        <v/>
      </c>
      <c r="AH34" s="55" t="str">
        <f>IF(AND('Mapa final'!$AA$57="Media",'Mapa final'!$AC$57="Catastrófico"),CONCATENATE("R9C",'Mapa final'!$Q$57),"")</f>
        <v/>
      </c>
      <c r="AI34" s="56" t="str">
        <f>IF(AND('Mapa final'!$AA$58="Media",'Mapa final'!$AC$58="Catastrófico"),CONCATENATE("R9C",'Mapa final'!$Q$58),"")</f>
        <v/>
      </c>
      <c r="AJ34" s="56" t="str">
        <f>IF(AND('Mapa final'!$AA$59="Media",'Mapa final'!$AC$59="Catastrófico"),CONCATENATE("R9C",'Mapa final'!$Q$59),"")</f>
        <v/>
      </c>
      <c r="AK34" s="56" t="str">
        <f>IF(AND('Mapa final'!$AA$60="Media",'Mapa final'!$AC$60="Catastrófico"),CONCATENATE("R9C",'Mapa final'!$Q$60),"")</f>
        <v/>
      </c>
      <c r="AL34" s="56" t="str">
        <f>IF(AND('Mapa final'!$AA$61="Media",'Mapa final'!$AC$61="Catastrófico"),CONCATENATE("R9C",'Mapa final'!$Q$61),"")</f>
        <v/>
      </c>
      <c r="AM34" s="57" t="str">
        <f>IF(AND('Mapa final'!$AA$62="Media",'Mapa final'!$AC$62="Catastrófico"),CONCATENATE("R9C",'Mapa final'!$Q$62),"")</f>
        <v/>
      </c>
      <c r="AN34" s="84"/>
      <c r="AO34" s="413"/>
      <c r="AP34" s="414"/>
      <c r="AQ34" s="414"/>
      <c r="AR34" s="414"/>
      <c r="AS34" s="414"/>
      <c r="AT34" s="415"/>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2"/>
      <c r="C35" s="282"/>
      <c r="D35" s="283"/>
      <c r="E35" s="385"/>
      <c r="F35" s="386"/>
      <c r="G35" s="386"/>
      <c r="H35" s="386"/>
      <c r="I35" s="400"/>
      <c r="J35" s="68" t="str">
        <f>IF(AND('Mapa final'!$AA$63="Media",'Mapa final'!$AC$63="Leve"),CONCATENATE("R10C",'Mapa final'!$Q$63),"")</f>
        <v/>
      </c>
      <c r="K35" s="69" t="str">
        <f>IF(AND('Mapa final'!$AA$64="Media",'Mapa final'!$AC$64="Leve"),CONCATENATE("R10C",'Mapa final'!$Q$64),"")</f>
        <v/>
      </c>
      <c r="L35" s="69" t="str">
        <f>IF(AND('Mapa final'!$AA$65="Media",'Mapa final'!$AC$65="Leve"),CONCATENATE("R10C",'Mapa final'!$Q$65),"")</f>
        <v/>
      </c>
      <c r="M35" s="69" t="str">
        <f>IF(AND('Mapa final'!$AA$66="Media",'Mapa final'!$AC$66="Leve"),CONCATENATE("R10C",'Mapa final'!$Q$66),"")</f>
        <v/>
      </c>
      <c r="N35" s="69" t="str">
        <f>IF(AND('Mapa final'!$AA$67="Media",'Mapa final'!$AC$67="Leve"),CONCATENATE("R10C",'Mapa final'!$Q$67),"")</f>
        <v/>
      </c>
      <c r="O35" s="70" t="str">
        <f>IF(AND('Mapa final'!$AA$68="Media",'Mapa final'!$AC$68="Leve"),CONCATENATE("R10C",'Mapa final'!$Q$68),"")</f>
        <v/>
      </c>
      <c r="P35" s="68" t="str">
        <f>IF(AND('Mapa final'!$AA$63="Media",'Mapa final'!$AC$63="Menor"),CONCATENATE("R10C",'Mapa final'!$Q$63),"")</f>
        <v/>
      </c>
      <c r="Q35" s="69" t="str">
        <f>IF(AND('Mapa final'!$AA$64="Media",'Mapa final'!$AC$64="Menor"),CONCATENATE("R10C",'Mapa final'!$Q$64),"")</f>
        <v/>
      </c>
      <c r="R35" s="69" t="str">
        <f>IF(AND('Mapa final'!$AA$65="Media",'Mapa final'!$AC$65="Menor"),CONCATENATE("R10C",'Mapa final'!$Q$65),"")</f>
        <v/>
      </c>
      <c r="S35" s="69" t="str">
        <f>IF(AND('Mapa final'!$AA$66="Media",'Mapa final'!$AC$66="Menor"),CONCATENATE("R10C",'Mapa final'!$Q$66),"")</f>
        <v/>
      </c>
      <c r="T35" s="69" t="str">
        <f>IF(AND('Mapa final'!$AA$67="Media",'Mapa final'!$AC$67="Menor"),CONCATENATE("R10C",'Mapa final'!$Q$67),"")</f>
        <v/>
      </c>
      <c r="U35" s="70" t="str">
        <f>IF(AND('Mapa final'!$AA$68="Media",'Mapa final'!$AC$68="Menor"),CONCATENATE("R10C",'Mapa final'!$Q$68),"")</f>
        <v/>
      </c>
      <c r="V35" s="68" t="str">
        <f>IF(AND('Mapa final'!$AA$63="Media",'Mapa final'!$AC$63="Moderado"),CONCATENATE("R10C",'Mapa final'!$Q$63),"")</f>
        <v/>
      </c>
      <c r="W35" s="69" t="str">
        <f>IF(AND('Mapa final'!$AA$64="Media",'Mapa final'!$AC$64="Moderado"),CONCATENATE("R10C",'Mapa final'!$Q$64),"")</f>
        <v/>
      </c>
      <c r="X35" s="69" t="str">
        <f>IF(AND('Mapa final'!$AA$65="Media",'Mapa final'!$AC$65="Moderado"),CONCATENATE("R10C",'Mapa final'!$Q$65),"")</f>
        <v/>
      </c>
      <c r="Y35" s="69" t="str">
        <f>IF(AND('Mapa final'!$AA$66="Media",'Mapa final'!$AC$66="Moderado"),CONCATENATE("R10C",'Mapa final'!$Q$66),"")</f>
        <v/>
      </c>
      <c r="Z35" s="69" t="str">
        <f>IF(AND('Mapa final'!$AA$67="Media",'Mapa final'!$AC$67="Moderado"),CONCATENATE("R10C",'Mapa final'!$Q$67),"")</f>
        <v/>
      </c>
      <c r="AA35" s="70" t="str">
        <f>IF(AND('Mapa final'!$AA$68="Media",'Mapa final'!$AC$68="Moderado"),CONCATENATE("R10C",'Mapa final'!$Q$68),"")</f>
        <v/>
      </c>
      <c r="AB35" s="59" t="str">
        <f>IF(AND('Mapa final'!$AA$63="Media",'Mapa final'!$AC$63="Mayor"),CONCATENATE("R10C",'Mapa final'!$Q$63),"")</f>
        <v/>
      </c>
      <c r="AC35" s="60" t="str">
        <f>IF(AND('Mapa final'!$AA$64="Media",'Mapa final'!$AC$64="Mayor"),CONCATENATE("R10C",'Mapa final'!$Q$64),"")</f>
        <v/>
      </c>
      <c r="AD35" s="60" t="str">
        <f>IF(AND('Mapa final'!$AA$65="Media",'Mapa final'!$AC$65="Mayor"),CONCATENATE("R10C",'Mapa final'!$Q$65),"")</f>
        <v/>
      </c>
      <c r="AE35" s="60" t="str">
        <f>IF(AND('Mapa final'!$AA$66="Media",'Mapa final'!$AC$66="Mayor"),CONCATENATE("R10C",'Mapa final'!$Q$66),"")</f>
        <v/>
      </c>
      <c r="AF35" s="60" t="str">
        <f>IF(AND('Mapa final'!$AA$67="Media",'Mapa final'!$AC$67="Mayor"),CONCATENATE("R10C",'Mapa final'!$Q$67),"")</f>
        <v/>
      </c>
      <c r="AG35" s="61" t="str">
        <f>IF(AND('Mapa final'!$AA$68="Media",'Mapa final'!$AC$68="Mayor"),CONCATENATE("R10C",'Mapa final'!$Q$68),"")</f>
        <v/>
      </c>
      <c r="AH35" s="62" t="str">
        <f>IF(AND('Mapa final'!$AA$63="Media",'Mapa final'!$AC$63="Catastrófico"),CONCATENATE("R10C",'Mapa final'!$Q$63),"")</f>
        <v/>
      </c>
      <c r="AI35" s="63" t="str">
        <f>IF(AND('Mapa final'!$AA$64="Media",'Mapa final'!$AC$64="Catastrófico"),CONCATENATE("R10C",'Mapa final'!$Q$64),"")</f>
        <v/>
      </c>
      <c r="AJ35" s="63" t="str">
        <f>IF(AND('Mapa final'!$AA$65="Media",'Mapa final'!$AC$65="Catastrófico"),CONCATENATE("R10C",'Mapa final'!$Q$65),"")</f>
        <v/>
      </c>
      <c r="AK35" s="63" t="str">
        <f>IF(AND('Mapa final'!$AA$66="Media",'Mapa final'!$AC$66="Catastrófico"),CONCATENATE("R10C",'Mapa final'!$Q$66),"")</f>
        <v/>
      </c>
      <c r="AL35" s="63" t="str">
        <f>IF(AND('Mapa final'!$AA$67="Media",'Mapa final'!$AC$67="Catastrófico"),CONCATENATE("R10C",'Mapa final'!$Q$67),"")</f>
        <v/>
      </c>
      <c r="AM35" s="64" t="str">
        <f>IF(AND('Mapa final'!$AA$68="Media",'Mapa final'!$AC$68="Catastrófico"),CONCATENATE("R10C",'Mapa final'!$Q$68),"")</f>
        <v/>
      </c>
      <c r="AN35" s="84"/>
      <c r="AO35" s="416"/>
      <c r="AP35" s="417"/>
      <c r="AQ35" s="417"/>
      <c r="AR35" s="417"/>
      <c r="AS35" s="417"/>
      <c r="AT35" s="418"/>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2"/>
      <c r="C36" s="282"/>
      <c r="D36" s="283"/>
      <c r="E36" s="379" t="s">
        <v>106</v>
      </c>
      <c r="F36" s="380"/>
      <c r="G36" s="380"/>
      <c r="H36" s="380"/>
      <c r="I36" s="380"/>
      <c r="J36" s="74" t="str">
        <f ca="1">IF(AND('Mapa final'!$AA$11="Baja",'Mapa final'!$AC$11="Leve"),CONCATENATE("R1C",'Mapa final'!$Q$11),"")</f>
        <v/>
      </c>
      <c r="K36" s="75" t="str">
        <f ca="1">IF(AND('Mapa final'!$AA$12="Baja",'Mapa final'!$AC$12="Leve"),CONCATENATE("R1C",'Mapa final'!$Q$12),"")</f>
        <v/>
      </c>
      <c r="L36" s="75" t="e">
        <f>IF(AND('Mapa final'!#REF!="Baja",'Mapa final'!#REF!="Leve"),CONCATENATE("R1C",'Mapa final'!#REF!),"")</f>
        <v>#REF!</v>
      </c>
      <c r="M36" s="75" t="e">
        <f>IF(AND('Mapa final'!#REF!="Baja",'Mapa final'!#REF!="Leve"),CONCATENATE("R1C",'Mapa final'!#REF!),"")</f>
        <v>#REF!</v>
      </c>
      <c r="N36" s="75" t="str">
        <f>IF(AND('Mapa final'!$AA$13="Baja",'Mapa final'!$AC$13="Leve"),CONCATENATE("R1C",'Mapa final'!$Q$13),"")</f>
        <v/>
      </c>
      <c r="O36" s="76" t="str">
        <f>IF(AND('Mapa final'!$AA$14="Baja",'Mapa final'!$AC$14="Leve"),CONCATENATE("R1C",'Mapa final'!$Q$14),"")</f>
        <v/>
      </c>
      <c r="P36" s="65" t="str">
        <f ca="1">IF(AND('Mapa final'!$AA$11="Baja",'Mapa final'!$AC$11="Menor"),CONCATENATE("R1C",'Mapa final'!$Q$11),"")</f>
        <v/>
      </c>
      <c r="Q36" s="66" t="str">
        <f ca="1">IF(AND('Mapa final'!$AA$12="Baja",'Mapa final'!$AC$12="Menor"),CONCATENATE("R1C",'Mapa final'!$Q$12),"")</f>
        <v/>
      </c>
      <c r="R36" s="66" t="e">
        <f>IF(AND('Mapa final'!#REF!="Baja",'Mapa final'!#REF!="Menor"),CONCATENATE("R1C",'Mapa final'!#REF!),"")</f>
        <v>#REF!</v>
      </c>
      <c r="S36" s="66" t="e">
        <f>IF(AND('Mapa final'!#REF!="Baja",'Mapa final'!#REF!="Menor"),CONCATENATE("R1C",'Mapa final'!#REF!),"")</f>
        <v>#REF!</v>
      </c>
      <c r="T36" s="66" t="str">
        <f>IF(AND('Mapa final'!$AA$13="Baja",'Mapa final'!$AC$13="Menor"),CONCATENATE("R1C",'Mapa final'!$Q$13),"")</f>
        <v/>
      </c>
      <c r="U36" s="67" t="str">
        <f>IF(AND('Mapa final'!$AA$14="Baja",'Mapa final'!$AC$14="Menor"),CONCATENATE("R1C",'Mapa final'!$Q$14),"")</f>
        <v/>
      </c>
      <c r="V36" s="65" t="str">
        <f ca="1">IF(AND('Mapa final'!$AA$11="Baja",'Mapa final'!$AC$11="Moderado"),CONCATENATE("R1C",'Mapa final'!$Q$11),"")</f>
        <v>R1C1</v>
      </c>
      <c r="W36" s="66" t="str">
        <f ca="1">IF(AND('Mapa final'!$AA$12="Baja",'Mapa final'!$AC$12="Moderado"),CONCATENATE("R1C",'Mapa final'!$Q$12),"")</f>
        <v>R1C2</v>
      </c>
      <c r="X36" s="66" t="e">
        <f>IF(AND('Mapa final'!#REF!="Baja",'Mapa final'!#REF!="Moderado"),CONCATENATE("R1C",'Mapa final'!#REF!),"")</f>
        <v>#REF!</v>
      </c>
      <c r="Y36" s="66" t="e">
        <f>IF(AND('Mapa final'!#REF!="Baja",'Mapa final'!#REF!="Moderado"),CONCATENATE("R1C",'Mapa final'!#REF!),"")</f>
        <v>#REF!</v>
      </c>
      <c r="Z36" s="66" t="str">
        <f>IF(AND('Mapa final'!$AA$13="Baja",'Mapa final'!$AC$13="Moderado"),CONCATENATE("R1C",'Mapa final'!$Q$13),"")</f>
        <v/>
      </c>
      <c r="AA36" s="67" t="str">
        <f>IF(AND('Mapa final'!$AA$14="Baja",'Mapa final'!$AC$14="Moderado"),CONCATENATE("R1C",'Mapa final'!$Q$14),"")</f>
        <v/>
      </c>
      <c r="AB36" s="46" t="str">
        <f ca="1">IF(AND('Mapa final'!$AA$11="Baja",'Mapa final'!$AC$11="Mayor"),CONCATENATE("R1C",'Mapa final'!$Q$11),"")</f>
        <v/>
      </c>
      <c r="AC36" s="47" t="str">
        <f ca="1">IF(AND('Mapa final'!$AA$12="Baja",'Mapa final'!$AC$12="Mayor"),CONCATENATE("R1C",'Mapa final'!$Q$12),"")</f>
        <v/>
      </c>
      <c r="AD36" s="47" t="e">
        <f>IF(AND('Mapa final'!#REF!="Baja",'Mapa final'!#REF!="Mayor"),CONCATENATE("R1C",'Mapa final'!#REF!),"")</f>
        <v>#REF!</v>
      </c>
      <c r="AE36" s="47" t="e">
        <f>IF(AND('Mapa final'!#REF!="Baja",'Mapa final'!#REF!="Mayor"),CONCATENATE("R1C",'Mapa final'!#REF!),"")</f>
        <v>#REF!</v>
      </c>
      <c r="AF36" s="47" t="str">
        <f>IF(AND('Mapa final'!$AA$13="Baja",'Mapa final'!$AC$13="Mayor"),CONCATENATE("R1C",'Mapa final'!$Q$13),"")</f>
        <v/>
      </c>
      <c r="AG36" s="48" t="str">
        <f>IF(AND('Mapa final'!$AA$14="Baja",'Mapa final'!$AC$14="Mayor"),CONCATENATE("R1C",'Mapa final'!$Q$14),"")</f>
        <v/>
      </c>
      <c r="AH36" s="49" t="str">
        <f ca="1">IF(AND('Mapa final'!$AA$11="Baja",'Mapa final'!$AC$11="Catastrófico"),CONCATENATE("R1C",'Mapa final'!$Q$11),"")</f>
        <v/>
      </c>
      <c r="AI36" s="50" t="str">
        <f ca="1">IF(AND('Mapa final'!$AA$12="Baja",'Mapa final'!$AC$12="Catastrófico"),CONCATENATE("R1C",'Mapa final'!$Q$12),"")</f>
        <v/>
      </c>
      <c r="AJ36" s="50" t="e">
        <f>IF(AND('Mapa final'!#REF!="Baja",'Mapa final'!#REF!="Catastrófico"),CONCATENATE("R1C",'Mapa final'!#REF!),"")</f>
        <v>#REF!</v>
      </c>
      <c r="AK36" s="50" t="e">
        <f>IF(AND('Mapa final'!#REF!="Baja",'Mapa final'!#REF!="Catastrófico"),CONCATENATE("R1C",'Mapa final'!#REF!),"")</f>
        <v>#REF!</v>
      </c>
      <c r="AL36" s="50" t="str">
        <f>IF(AND('Mapa final'!$AA$13="Baja",'Mapa final'!$AC$13="Catastrófico"),CONCATENATE("R1C",'Mapa final'!$Q$13),"")</f>
        <v/>
      </c>
      <c r="AM36" s="51" t="str">
        <f>IF(AND('Mapa final'!$AA$14="Baja",'Mapa final'!$AC$14="Catastrófico"),CONCATENATE("R1C",'Mapa final'!$Q$14),"")</f>
        <v/>
      </c>
      <c r="AN36" s="84"/>
      <c r="AO36" s="401" t="s">
        <v>79</v>
      </c>
      <c r="AP36" s="402"/>
      <c r="AQ36" s="402"/>
      <c r="AR36" s="402"/>
      <c r="AS36" s="402"/>
      <c r="AT36" s="40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2"/>
      <c r="C37" s="282"/>
      <c r="D37" s="283"/>
      <c r="E37" s="381"/>
      <c r="F37" s="382"/>
      <c r="G37" s="382"/>
      <c r="H37" s="382"/>
      <c r="I37" s="382"/>
      <c r="J37" s="77" t="str">
        <f>IF(AND('Mapa final'!$AA$15="Baja",'Mapa final'!$AC$15="Leve"),CONCATENATE("R2C",'Mapa final'!$Q$15),"")</f>
        <v/>
      </c>
      <c r="K37" s="78" t="str">
        <f>IF(AND('Mapa final'!$AA$16="Baja",'Mapa final'!$AC$16="Leve"),CONCATENATE("R2C",'Mapa final'!$Q$16),"")</f>
        <v/>
      </c>
      <c r="L37" s="78" t="str">
        <f>IF(AND('Mapa final'!$AA$17="Baja",'Mapa final'!$AC$17="Leve"),CONCATENATE("R2C",'Mapa final'!$Q$17),"")</f>
        <v/>
      </c>
      <c r="M37" s="78" t="str">
        <f>IF(AND('Mapa final'!$AA$18="Baja",'Mapa final'!$AC$18="Leve"),CONCATENATE("R2C",'Mapa final'!$Q$18),"")</f>
        <v/>
      </c>
      <c r="N37" s="78" t="str">
        <f>IF(AND('Mapa final'!$AA$19="Baja",'Mapa final'!$AC$19="Leve"),CONCATENATE("R2C",'Mapa final'!$Q$19),"")</f>
        <v/>
      </c>
      <c r="O37" s="79" t="str">
        <f>IF(AND('Mapa final'!$AA$20="Baja",'Mapa final'!$AC$20="Leve"),CONCATENATE("R2C",'Mapa final'!$Q$20),"")</f>
        <v/>
      </c>
      <c r="P37" s="68" t="str">
        <f>IF(AND('Mapa final'!$AA$15="Baja",'Mapa final'!$AC$15="Menor"),CONCATENATE("R2C",'Mapa final'!$Q$15),"")</f>
        <v/>
      </c>
      <c r="Q37" s="69" t="str">
        <f>IF(AND('Mapa final'!$AA$16="Baja",'Mapa final'!$AC$16="Menor"),CONCATENATE("R2C",'Mapa final'!$Q$16),"")</f>
        <v/>
      </c>
      <c r="R37" s="69" t="str">
        <f>IF(AND('Mapa final'!$AA$17="Baja",'Mapa final'!$AC$17="Menor"),CONCATENATE("R2C",'Mapa final'!$Q$17),"")</f>
        <v/>
      </c>
      <c r="S37" s="69" t="str">
        <f>IF(AND('Mapa final'!$AA$18="Baja",'Mapa final'!$AC$18="Menor"),CONCATENATE("R2C",'Mapa final'!$Q$18),"")</f>
        <v/>
      </c>
      <c r="T37" s="69" t="str">
        <f>IF(AND('Mapa final'!$AA$19="Baja",'Mapa final'!$AC$19="Menor"),CONCATENATE("R2C",'Mapa final'!$Q$19),"")</f>
        <v/>
      </c>
      <c r="U37" s="70" t="str">
        <f>IF(AND('Mapa final'!$AA$20="Baja",'Mapa final'!$AC$20="Menor"),CONCATENATE("R2C",'Mapa final'!$Q$20),"")</f>
        <v/>
      </c>
      <c r="V37" s="68" t="str">
        <f>IF(AND('Mapa final'!$AA$15="Baja",'Mapa final'!$AC$15="Moderado"),CONCATENATE("R2C",'Mapa final'!$Q$15),"")</f>
        <v/>
      </c>
      <c r="W37" s="69" t="str">
        <f>IF(AND('Mapa final'!$AA$16="Baja",'Mapa final'!$AC$16="Moderado"),CONCATENATE("R2C",'Mapa final'!$Q$16),"")</f>
        <v/>
      </c>
      <c r="X37" s="69" t="str">
        <f>IF(AND('Mapa final'!$AA$17="Baja",'Mapa final'!$AC$17="Moderado"),CONCATENATE("R2C",'Mapa final'!$Q$17),"")</f>
        <v/>
      </c>
      <c r="Y37" s="69" t="str">
        <f>IF(AND('Mapa final'!$AA$18="Baja",'Mapa final'!$AC$18="Moderado"),CONCATENATE("R2C",'Mapa final'!$Q$18),"")</f>
        <v/>
      </c>
      <c r="Z37" s="69" t="str">
        <f>IF(AND('Mapa final'!$AA$19="Baja",'Mapa final'!$AC$19="Moderado"),CONCATENATE("R2C",'Mapa final'!$Q$19),"")</f>
        <v/>
      </c>
      <c r="AA37" s="70" t="str">
        <f>IF(AND('Mapa final'!$AA$20="Baja",'Mapa final'!$AC$20="Moderado"),CONCATENATE("R2C",'Mapa final'!$Q$20),"")</f>
        <v/>
      </c>
      <c r="AB37" s="52" t="str">
        <f>IF(AND('Mapa final'!$AA$15="Baja",'Mapa final'!$AC$15="Mayor"),CONCATENATE("R2C",'Mapa final'!$Q$15),"")</f>
        <v/>
      </c>
      <c r="AC37" s="53" t="str">
        <f>IF(AND('Mapa final'!$AA$16="Baja",'Mapa final'!$AC$16="Mayor"),CONCATENATE("R2C",'Mapa final'!$Q$16),"")</f>
        <v/>
      </c>
      <c r="AD37" s="53" t="str">
        <f>IF(AND('Mapa final'!$AA$17="Baja",'Mapa final'!$AC$17="Mayor"),CONCATENATE("R2C",'Mapa final'!$Q$17),"")</f>
        <v/>
      </c>
      <c r="AE37" s="53" t="str">
        <f>IF(AND('Mapa final'!$AA$18="Baja",'Mapa final'!$AC$18="Mayor"),CONCATENATE("R2C",'Mapa final'!$Q$18),"")</f>
        <v/>
      </c>
      <c r="AF37" s="53" t="str">
        <f>IF(AND('Mapa final'!$AA$19="Baja",'Mapa final'!$AC$19="Mayor"),CONCATENATE("R2C",'Mapa final'!$Q$19),"")</f>
        <v/>
      </c>
      <c r="AG37" s="54" t="str">
        <f>IF(AND('Mapa final'!$AA$20="Baja",'Mapa final'!$AC$20="Mayor"),CONCATENATE("R2C",'Mapa final'!$Q$20),"")</f>
        <v/>
      </c>
      <c r="AH37" s="55" t="str">
        <f>IF(AND('Mapa final'!$AA$15="Baja",'Mapa final'!$AC$15="Catastrófico"),CONCATENATE("R2C",'Mapa final'!$Q$15),"")</f>
        <v/>
      </c>
      <c r="AI37" s="56" t="str">
        <f>IF(AND('Mapa final'!$AA$16="Baja",'Mapa final'!$AC$16="Catastrófico"),CONCATENATE("R2C",'Mapa final'!$Q$16),"")</f>
        <v/>
      </c>
      <c r="AJ37" s="56" t="str">
        <f>IF(AND('Mapa final'!$AA$17="Baja",'Mapa final'!$AC$17="Catastrófico"),CONCATENATE("R2C",'Mapa final'!$Q$17),"")</f>
        <v/>
      </c>
      <c r="AK37" s="56" t="str">
        <f>IF(AND('Mapa final'!$AA$18="Baja",'Mapa final'!$AC$18="Catastrófico"),CONCATENATE("R2C",'Mapa final'!$Q$18),"")</f>
        <v/>
      </c>
      <c r="AL37" s="56" t="str">
        <f>IF(AND('Mapa final'!$AA$19="Baja",'Mapa final'!$AC$19="Catastrófico"),CONCATENATE("R2C",'Mapa final'!$Q$19),"")</f>
        <v/>
      </c>
      <c r="AM37" s="57" t="str">
        <f>IF(AND('Mapa final'!$AA$20="Baja",'Mapa final'!$AC$20="Catastrófico"),CONCATENATE("R2C",'Mapa final'!$Q$20),"")</f>
        <v/>
      </c>
      <c r="AN37" s="84"/>
      <c r="AO37" s="404"/>
      <c r="AP37" s="405"/>
      <c r="AQ37" s="405"/>
      <c r="AR37" s="405"/>
      <c r="AS37" s="405"/>
      <c r="AT37" s="40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2"/>
      <c r="C38" s="282"/>
      <c r="D38" s="283"/>
      <c r="E38" s="383"/>
      <c r="F38" s="384"/>
      <c r="G38" s="384"/>
      <c r="H38" s="384"/>
      <c r="I38" s="382"/>
      <c r="J38" s="77" t="str">
        <f>IF(AND('Mapa final'!$AA$21="Baja",'Mapa final'!$AC$21="Leve"),CONCATENATE("R3C",'Mapa final'!$Q$21),"")</f>
        <v/>
      </c>
      <c r="K38" s="78" t="str">
        <f>IF(AND('Mapa final'!$AA$22="Baja",'Mapa final'!$AC$22="Leve"),CONCATENATE("R3C",'Mapa final'!$Q$22),"")</f>
        <v/>
      </c>
      <c r="L38" s="78" t="str">
        <f>IF(AND('Mapa final'!$AA$23="Baja",'Mapa final'!$AC$23="Leve"),CONCATENATE("R3C",'Mapa final'!$Q$23),"")</f>
        <v/>
      </c>
      <c r="M38" s="78" t="str">
        <f>IF(AND('Mapa final'!$AA$24="Baja",'Mapa final'!$AC$24="Leve"),CONCATENATE("R3C",'Mapa final'!$Q$24),"")</f>
        <v/>
      </c>
      <c r="N38" s="78" t="str">
        <f>IF(AND('Mapa final'!$AA$25="Baja",'Mapa final'!$AC$25="Leve"),CONCATENATE("R3C",'Mapa final'!$Q$25),"")</f>
        <v/>
      </c>
      <c r="O38" s="79" t="str">
        <f>IF(AND('Mapa final'!$AA$26="Baja",'Mapa final'!$AC$26="Leve"),CONCATENATE("R3C",'Mapa final'!$Q$26),"")</f>
        <v/>
      </c>
      <c r="P38" s="68" t="str">
        <f>IF(AND('Mapa final'!$AA$21="Baja",'Mapa final'!$AC$21="Menor"),CONCATENATE("R3C",'Mapa final'!$Q$21),"")</f>
        <v/>
      </c>
      <c r="Q38" s="69" t="str">
        <f>IF(AND('Mapa final'!$AA$22="Baja",'Mapa final'!$AC$22="Menor"),CONCATENATE("R3C",'Mapa final'!$Q$22),"")</f>
        <v/>
      </c>
      <c r="R38" s="69" t="str">
        <f>IF(AND('Mapa final'!$AA$23="Baja",'Mapa final'!$AC$23="Menor"),CONCATENATE("R3C",'Mapa final'!$Q$23),"")</f>
        <v/>
      </c>
      <c r="S38" s="69" t="str">
        <f>IF(AND('Mapa final'!$AA$24="Baja",'Mapa final'!$AC$24="Menor"),CONCATENATE("R3C",'Mapa final'!$Q$24),"")</f>
        <v/>
      </c>
      <c r="T38" s="69" t="str">
        <f>IF(AND('Mapa final'!$AA$25="Baja",'Mapa final'!$AC$25="Menor"),CONCATENATE("R3C",'Mapa final'!$Q$25),"")</f>
        <v/>
      </c>
      <c r="U38" s="70" t="str">
        <f>IF(AND('Mapa final'!$AA$26="Baja",'Mapa final'!$AC$26="Menor"),CONCATENATE("R3C",'Mapa final'!$Q$26),"")</f>
        <v/>
      </c>
      <c r="V38" s="68" t="str">
        <f>IF(AND('Mapa final'!$AA$21="Baja",'Mapa final'!$AC$21="Moderado"),CONCATENATE("R3C",'Mapa final'!$Q$21),"")</f>
        <v/>
      </c>
      <c r="W38" s="69" t="str">
        <f>IF(AND('Mapa final'!$AA$22="Baja",'Mapa final'!$AC$22="Moderado"),CONCATENATE("R3C",'Mapa final'!$Q$22),"")</f>
        <v/>
      </c>
      <c r="X38" s="69" t="str">
        <f>IF(AND('Mapa final'!$AA$23="Baja",'Mapa final'!$AC$23="Moderado"),CONCATENATE("R3C",'Mapa final'!$Q$23),"")</f>
        <v/>
      </c>
      <c r="Y38" s="69" t="str">
        <f>IF(AND('Mapa final'!$AA$24="Baja",'Mapa final'!$AC$24="Moderado"),CONCATENATE("R3C",'Mapa final'!$Q$24),"")</f>
        <v/>
      </c>
      <c r="Z38" s="69" t="str">
        <f>IF(AND('Mapa final'!$AA$25="Baja",'Mapa final'!$AC$25="Moderado"),CONCATENATE("R3C",'Mapa final'!$Q$25),"")</f>
        <v/>
      </c>
      <c r="AA38" s="70" t="str">
        <f>IF(AND('Mapa final'!$AA$26="Baja",'Mapa final'!$AC$26="Moderado"),CONCATENATE("R3C",'Mapa final'!$Q$26),"")</f>
        <v/>
      </c>
      <c r="AB38" s="52" t="str">
        <f>IF(AND('Mapa final'!$AA$21="Baja",'Mapa final'!$AC$21="Mayor"),CONCATENATE("R3C",'Mapa final'!$Q$21),"")</f>
        <v/>
      </c>
      <c r="AC38" s="53" t="str">
        <f>IF(AND('Mapa final'!$AA$22="Baja",'Mapa final'!$AC$22="Mayor"),CONCATENATE("R3C",'Mapa final'!$Q$22),"")</f>
        <v/>
      </c>
      <c r="AD38" s="53" t="str">
        <f>IF(AND('Mapa final'!$AA$23="Baja",'Mapa final'!$AC$23="Mayor"),CONCATENATE("R3C",'Mapa final'!$Q$23),"")</f>
        <v/>
      </c>
      <c r="AE38" s="53" t="str">
        <f>IF(AND('Mapa final'!$AA$24="Baja",'Mapa final'!$AC$24="Mayor"),CONCATENATE("R3C",'Mapa final'!$Q$24),"")</f>
        <v/>
      </c>
      <c r="AF38" s="53" t="str">
        <f>IF(AND('Mapa final'!$AA$25="Baja",'Mapa final'!$AC$25="Mayor"),CONCATENATE("R3C",'Mapa final'!$Q$25),"")</f>
        <v/>
      </c>
      <c r="AG38" s="54" t="str">
        <f>IF(AND('Mapa final'!$AA$26="Baja",'Mapa final'!$AC$26="Mayor"),CONCATENATE("R3C",'Mapa final'!$Q$26),"")</f>
        <v/>
      </c>
      <c r="AH38" s="55" t="str">
        <f>IF(AND('Mapa final'!$AA$21="Baja",'Mapa final'!$AC$21="Catastrófico"),CONCATENATE("R3C",'Mapa final'!$Q$21),"")</f>
        <v/>
      </c>
      <c r="AI38" s="56" t="str">
        <f>IF(AND('Mapa final'!$AA$22="Baja",'Mapa final'!$AC$22="Catastrófico"),CONCATENATE("R3C",'Mapa final'!$Q$22),"")</f>
        <v/>
      </c>
      <c r="AJ38" s="56" t="str">
        <f>IF(AND('Mapa final'!$AA$23="Baja",'Mapa final'!$AC$23="Catastrófico"),CONCATENATE("R3C",'Mapa final'!$Q$23),"")</f>
        <v/>
      </c>
      <c r="AK38" s="56" t="str">
        <f>IF(AND('Mapa final'!$AA$24="Baja",'Mapa final'!$AC$24="Catastrófico"),CONCATENATE("R3C",'Mapa final'!$Q$24),"")</f>
        <v/>
      </c>
      <c r="AL38" s="56" t="str">
        <f>IF(AND('Mapa final'!$AA$25="Baja",'Mapa final'!$AC$25="Catastrófico"),CONCATENATE("R3C",'Mapa final'!$Q$25),"")</f>
        <v/>
      </c>
      <c r="AM38" s="57" t="str">
        <f>IF(AND('Mapa final'!$AA$26="Baja",'Mapa final'!$AC$26="Catastrófico"),CONCATENATE("R3C",'Mapa final'!$Q$26),"")</f>
        <v/>
      </c>
      <c r="AN38" s="84"/>
      <c r="AO38" s="404"/>
      <c r="AP38" s="405"/>
      <c r="AQ38" s="405"/>
      <c r="AR38" s="405"/>
      <c r="AS38" s="405"/>
      <c r="AT38" s="406"/>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2"/>
      <c r="C39" s="282"/>
      <c r="D39" s="283"/>
      <c r="E39" s="383"/>
      <c r="F39" s="384"/>
      <c r="G39" s="384"/>
      <c r="H39" s="384"/>
      <c r="I39" s="382"/>
      <c r="J39" s="77" t="str">
        <f>IF(AND('Mapa final'!$AA$27="Baja",'Mapa final'!$AC$27="Leve"),CONCATENATE("R4C",'Mapa final'!$Q$27),"")</f>
        <v/>
      </c>
      <c r="K39" s="78" t="str">
        <f>IF(AND('Mapa final'!$AA$28="Baja",'Mapa final'!$AC$28="Leve"),CONCATENATE("R4C",'Mapa final'!$Q$28),"")</f>
        <v/>
      </c>
      <c r="L39" s="78" t="str">
        <f>IF(AND('Mapa final'!$AA$29="Baja",'Mapa final'!$AC$29="Leve"),CONCATENATE("R4C",'Mapa final'!$Q$29),"")</f>
        <v/>
      </c>
      <c r="M39" s="78" t="str">
        <f>IF(AND('Mapa final'!$AA$30="Baja",'Mapa final'!$AC$30="Leve"),CONCATENATE("R4C",'Mapa final'!$Q$30),"")</f>
        <v/>
      </c>
      <c r="N39" s="78" t="str">
        <f>IF(AND('Mapa final'!$AA$31="Baja",'Mapa final'!$AC$31="Leve"),CONCATENATE("R4C",'Mapa final'!$Q$31),"")</f>
        <v/>
      </c>
      <c r="O39" s="79" t="str">
        <f>IF(AND('Mapa final'!$AA$32="Baja",'Mapa final'!$AC$32="Leve"),CONCATENATE("R4C",'Mapa final'!$Q$32),"")</f>
        <v/>
      </c>
      <c r="P39" s="68" t="str">
        <f>IF(AND('Mapa final'!$AA$27="Baja",'Mapa final'!$AC$27="Menor"),CONCATENATE("R4C",'Mapa final'!$Q$27),"")</f>
        <v/>
      </c>
      <c r="Q39" s="69" t="str">
        <f>IF(AND('Mapa final'!$AA$28="Baja",'Mapa final'!$AC$28="Menor"),CONCATENATE("R4C",'Mapa final'!$Q$28),"")</f>
        <v/>
      </c>
      <c r="R39" s="69" t="str">
        <f>IF(AND('Mapa final'!$AA$29="Baja",'Mapa final'!$AC$29="Menor"),CONCATENATE("R4C",'Mapa final'!$Q$29),"")</f>
        <v/>
      </c>
      <c r="S39" s="69" t="str">
        <f>IF(AND('Mapa final'!$AA$30="Baja",'Mapa final'!$AC$30="Menor"),CONCATENATE("R4C",'Mapa final'!$Q$30),"")</f>
        <v/>
      </c>
      <c r="T39" s="69" t="str">
        <f>IF(AND('Mapa final'!$AA$31="Baja",'Mapa final'!$AC$31="Menor"),CONCATENATE("R4C",'Mapa final'!$Q$31),"")</f>
        <v/>
      </c>
      <c r="U39" s="70" t="str">
        <f>IF(AND('Mapa final'!$AA$32="Baja",'Mapa final'!$AC$32="Menor"),CONCATENATE("R4C",'Mapa final'!$Q$32),"")</f>
        <v/>
      </c>
      <c r="V39" s="68" t="str">
        <f>IF(AND('Mapa final'!$AA$27="Baja",'Mapa final'!$AC$27="Moderado"),CONCATENATE("R4C",'Mapa final'!$Q$27),"")</f>
        <v/>
      </c>
      <c r="W39" s="69" t="str">
        <f>IF(AND('Mapa final'!$AA$28="Baja",'Mapa final'!$AC$28="Moderado"),CONCATENATE("R4C",'Mapa final'!$Q$28),"")</f>
        <v/>
      </c>
      <c r="X39" s="69" t="str">
        <f>IF(AND('Mapa final'!$AA$29="Baja",'Mapa final'!$AC$29="Moderado"),CONCATENATE("R4C",'Mapa final'!$Q$29),"")</f>
        <v/>
      </c>
      <c r="Y39" s="69" t="str">
        <f>IF(AND('Mapa final'!$AA$30="Baja",'Mapa final'!$AC$30="Moderado"),CONCATENATE("R4C",'Mapa final'!$Q$30),"")</f>
        <v/>
      </c>
      <c r="Z39" s="69" t="str">
        <f>IF(AND('Mapa final'!$AA$31="Baja",'Mapa final'!$AC$31="Moderado"),CONCATENATE("R4C",'Mapa final'!$Q$31),"")</f>
        <v/>
      </c>
      <c r="AA39" s="70" t="str">
        <f>IF(AND('Mapa final'!$AA$32="Baja",'Mapa final'!$AC$32="Moderado"),CONCATENATE("R4C",'Mapa final'!$Q$32),"")</f>
        <v/>
      </c>
      <c r="AB39" s="52" t="str">
        <f>IF(AND('Mapa final'!$AA$27="Baja",'Mapa final'!$AC$27="Mayor"),CONCATENATE("R4C",'Mapa final'!$Q$27),"")</f>
        <v/>
      </c>
      <c r="AC39" s="53" t="str">
        <f>IF(AND('Mapa final'!$AA$28="Baja",'Mapa final'!$AC$28="Mayor"),CONCATENATE("R4C",'Mapa final'!$Q$28),"")</f>
        <v/>
      </c>
      <c r="AD39" s="53" t="str">
        <f>IF(AND('Mapa final'!$AA$29="Baja",'Mapa final'!$AC$29="Mayor"),CONCATENATE("R4C",'Mapa final'!$Q$29),"")</f>
        <v/>
      </c>
      <c r="AE39" s="53" t="str">
        <f>IF(AND('Mapa final'!$AA$30="Baja",'Mapa final'!$AC$30="Mayor"),CONCATENATE("R4C",'Mapa final'!$Q$30),"")</f>
        <v/>
      </c>
      <c r="AF39" s="53" t="str">
        <f>IF(AND('Mapa final'!$AA$31="Baja",'Mapa final'!$AC$31="Mayor"),CONCATENATE("R4C",'Mapa final'!$Q$31),"")</f>
        <v/>
      </c>
      <c r="AG39" s="54" t="str">
        <f>IF(AND('Mapa final'!$AA$32="Baja",'Mapa final'!$AC$32="Mayor"),CONCATENATE("R4C",'Mapa final'!$Q$32),"")</f>
        <v/>
      </c>
      <c r="AH39" s="55" t="str">
        <f>IF(AND('Mapa final'!$AA$27="Baja",'Mapa final'!$AC$27="Catastrófico"),CONCATENATE("R4C",'Mapa final'!$Q$27),"")</f>
        <v/>
      </c>
      <c r="AI39" s="56" t="str">
        <f>IF(AND('Mapa final'!$AA$28="Baja",'Mapa final'!$AC$28="Catastrófico"),CONCATENATE("R4C",'Mapa final'!$Q$28),"")</f>
        <v/>
      </c>
      <c r="AJ39" s="56" t="str">
        <f>IF(AND('Mapa final'!$AA$29="Baja",'Mapa final'!$AC$29="Catastrófico"),CONCATENATE("R4C",'Mapa final'!$Q$29),"")</f>
        <v/>
      </c>
      <c r="AK39" s="56" t="str">
        <f>IF(AND('Mapa final'!$AA$30="Baja",'Mapa final'!$AC$30="Catastrófico"),CONCATENATE("R4C",'Mapa final'!$Q$30),"")</f>
        <v/>
      </c>
      <c r="AL39" s="56" t="str">
        <f>IF(AND('Mapa final'!$AA$31="Baja",'Mapa final'!$AC$31="Catastrófico"),CONCATENATE("R4C",'Mapa final'!$Q$31),"")</f>
        <v/>
      </c>
      <c r="AM39" s="57" t="str">
        <f>IF(AND('Mapa final'!$AA$32="Baja",'Mapa final'!$AC$32="Catastrófico"),CONCATENATE("R4C",'Mapa final'!$Q$32),"")</f>
        <v/>
      </c>
      <c r="AN39" s="84"/>
      <c r="AO39" s="404"/>
      <c r="AP39" s="405"/>
      <c r="AQ39" s="405"/>
      <c r="AR39" s="405"/>
      <c r="AS39" s="405"/>
      <c r="AT39" s="406"/>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2"/>
      <c r="C40" s="282"/>
      <c r="D40" s="283"/>
      <c r="E40" s="383"/>
      <c r="F40" s="384"/>
      <c r="G40" s="384"/>
      <c r="H40" s="384"/>
      <c r="I40" s="382"/>
      <c r="J40" s="77" t="str">
        <f>IF(AND('Mapa final'!$AA$33="Baja",'Mapa final'!$AC$33="Leve"),CONCATENATE("R5C",'Mapa final'!$Q$33),"")</f>
        <v/>
      </c>
      <c r="K40" s="78" t="str">
        <f>IF(AND('Mapa final'!$AA$34="Baja",'Mapa final'!$AC$34="Leve"),CONCATENATE("R5C",'Mapa final'!$Q$34),"")</f>
        <v/>
      </c>
      <c r="L40" s="78" t="str">
        <f>IF(AND('Mapa final'!$AA$35="Baja",'Mapa final'!$AC$35="Leve"),CONCATENATE("R5C",'Mapa final'!$Q$35),"")</f>
        <v/>
      </c>
      <c r="M40" s="78" t="str">
        <f>IF(AND('Mapa final'!$AA$36="Baja",'Mapa final'!$AC$36="Leve"),CONCATENATE("R5C",'Mapa final'!$Q$36),"")</f>
        <v/>
      </c>
      <c r="N40" s="78" t="str">
        <f>IF(AND('Mapa final'!$AA$37="Baja",'Mapa final'!$AC$37="Leve"),CONCATENATE("R5C",'Mapa final'!$Q$37),"")</f>
        <v/>
      </c>
      <c r="O40" s="79" t="str">
        <f>IF(AND('Mapa final'!$AA$38="Baja",'Mapa final'!$AC$38="Leve"),CONCATENATE("R5C",'Mapa final'!$Q$38),"")</f>
        <v/>
      </c>
      <c r="P40" s="68" t="str">
        <f>IF(AND('Mapa final'!$AA$33="Baja",'Mapa final'!$AC$33="Menor"),CONCATENATE("R5C",'Mapa final'!$Q$33),"")</f>
        <v/>
      </c>
      <c r="Q40" s="69" t="str">
        <f>IF(AND('Mapa final'!$AA$34="Baja",'Mapa final'!$AC$34="Menor"),CONCATENATE("R5C",'Mapa final'!$Q$34),"")</f>
        <v/>
      </c>
      <c r="R40" s="69" t="str">
        <f>IF(AND('Mapa final'!$AA$35="Baja",'Mapa final'!$AC$35="Menor"),CONCATENATE("R5C",'Mapa final'!$Q$35),"")</f>
        <v/>
      </c>
      <c r="S40" s="69" t="str">
        <f>IF(AND('Mapa final'!$AA$36="Baja",'Mapa final'!$AC$36="Menor"),CONCATENATE("R5C",'Mapa final'!$Q$36),"")</f>
        <v/>
      </c>
      <c r="T40" s="69" t="str">
        <f>IF(AND('Mapa final'!$AA$37="Baja",'Mapa final'!$AC$37="Menor"),CONCATENATE("R5C",'Mapa final'!$Q$37),"")</f>
        <v/>
      </c>
      <c r="U40" s="70" t="str">
        <f>IF(AND('Mapa final'!$AA$38="Baja",'Mapa final'!$AC$38="Menor"),CONCATENATE("R5C",'Mapa final'!$Q$38),"")</f>
        <v/>
      </c>
      <c r="V40" s="68" t="str">
        <f>IF(AND('Mapa final'!$AA$33="Baja",'Mapa final'!$AC$33="Moderado"),CONCATENATE("R5C",'Mapa final'!$Q$33),"")</f>
        <v/>
      </c>
      <c r="W40" s="69" t="str">
        <f>IF(AND('Mapa final'!$AA$34="Baja",'Mapa final'!$AC$34="Moderado"),CONCATENATE("R5C",'Mapa final'!$Q$34),"")</f>
        <v/>
      </c>
      <c r="X40" s="69" t="str">
        <f>IF(AND('Mapa final'!$AA$35="Baja",'Mapa final'!$AC$35="Moderado"),CONCATENATE("R5C",'Mapa final'!$Q$35),"")</f>
        <v/>
      </c>
      <c r="Y40" s="69" t="str">
        <f>IF(AND('Mapa final'!$AA$36="Baja",'Mapa final'!$AC$36="Moderado"),CONCATENATE("R5C",'Mapa final'!$Q$36),"")</f>
        <v/>
      </c>
      <c r="Z40" s="69" t="str">
        <f>IF(AND('Mapa final'!$AA$37="Baja",'Mapa final'!$AC$37="Moderado"),CONCATENATE("R5C",'Mapa final'!$Q$37),"")</f>
        <v/>
      </c>
      <c r="AA40" s="70" t="str">
        <f>IF(AND('Mapa final'!$AA$38="Baja",'Mapa final'!$AC$38="Moderado"),CONCATENATE("R5C",'Mapa final'!$Q$38),"")</f>
        <v/>
      </c>
      <c r="AB40" s="52" t="str">
        <f>IF(AND('Mapa final'!$AA$33="Baja",'Mapa final'!$AC$33="Mayor"),CONCATENATE("R5C",'Mapa final'!$Q$33),"")</f>
        <v/>
      </c>
      <c r="AC40" s="53" t="str">
        <f>IF(AND('Mapa final'!$AA$34="Baja",'Mapa final'!$AC$34="Mayor"),CONCATENATE("R5C",'Mapa final'!$Q$34),"")</f>
        <v/>
      </c>
      <c r="AD40" s="58" t="str">
        <f>IF(AND('Mapa final'!$AA$35="Baja",'Mapa final'!$AC$35="Mayor"),CONCATENATE("R5C",'Mapa final'!$Q$35),"")</f>
        <v/>
      </c>
      <c r="AE40" s="58" t="str">
        <f>IF(AND('Mapa final'!$AA$36="Baja",'Mapa final'!$AC$36="Mayor"),CONCATENATE("R5C",'Mapa final'!$Q$36),"")</f>
        <v/>
      </c>
      <c r="AF40" s="58" t="str">
        <f>IF(AND('Mapa final'!$AA$37="Baja",'Mapa final'!$AC$37="Mayor"),CONCATENATE("R5C",'Mapa final'!$Q$37),"")</f>
        <v/>
      </c>
      <c r="AG40" s="54" t="str">
        <f>IF(AND('Mapa final'!$AA$38="Baja",'Mapa final'!$AC$38="Mayor"),CONCATENATE("R5C",'Mapa final'!$Q$38),"")</f>
        <v/>
      </c>
      <c r="AH40" s="55" t="str">
        <f>IF(AND('Mapa final'!$AA$33="Baja",'Mapa final'!$AC$33="Catastrófico"),CONCATENATE("R5C",'Mapa final'!$Q$33),"")</f>
        <v/>
      </c>
      <c r="AI40" s="56" t="str">
        <f>IF(AND('Mapa final'!$AA$34="Baja",'Mapa final'!$AC$34="Catastrófico"),CONCATENATE("R5C",'Mapa final'!$Q$34),"")</f>
        <v/>
      </c>
      <c r="AJ40" s="56" t="str">
        <f>IF(AND('Mapa final'!$AA$35="Baja",'Mapa final'!$AC$35="Catastrófico"),CONCATENATE("R5C",'Mapa final'!$Q$35),"")</f>
        <v/>
      </c>
      <c r="AK40" s="56" t="str">
        <f>IF(AND('Mapa final'!$AA$36="Baja",'Mapa final'!$AC$36="Catastrófico"),CONCATENATE("R5C",'Mapa final'!$Q$36),"")</f>
        <v/>
      </c>
      <c r="AL40" s="56" t="str">
        <f>IF(AND('Mapa final'!$AA$37="Baja",'Mapa final'!$AC$37="Catastrófico"),CONCATENATE("R5C",'Mapa final'!$Q$37),"")</f>
        <v/>
      </c>
      <c r="AM40" s="57" t="str">
        <f>IF(AND('Mapa final'!$AA$38="Baja",'Mapa final'!$AC$38="Catastrófico"),CONCATENATE("R5C",'Mapa final'!$Q$38),"")</f>
        <v/>
      </c>
      <c r="AN40" s="84"/>
      <c r="AO40" s="404"/>
      <c r="AP40" s="405"/>
      <c r="AQ40" s="405"/>
      <c r="AR40" s="405"/>
      <c r="AS40" s="405"/>
      <c r="AT40" s="406"/>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2"/>
      <c r="C41" s="282"/>
      <c r="D41" s="283"/>
      <c r="E41" s="383"/>
      <c r="F41" s="384"/>
      <c r="G41" s="384"/>
      <c r="H41" s="384"/>
      <c r="I41" s="382"/>
      <c r="J41" s="77" t="str">
        <f>IF(AND('Mapa final'!$AA$39="Baja",'Mapa final'!$AC$39="Leve"),CONCATENATE("R6C",'Mapa final'!$Q$39),"")</f>
        <v/>
      </c>
      <c r="K41" s="78" t="str">
        <f>IF(AND('Mapa final'!$AA$40="Baja",'Mapa final'!$AC$40="Leve"),CONCATENATE("R6C",'Mapa final'!$Q$40),"")</f>
        <v/>
      </c>
      <c r="L41" s="78" t="str">
        <f>IF(AND('Mapa final'!$AA$41="Baja",'Mapa final'!$AC$41="Leve"),CONCATENATE("R6C",'Mapa final'!$Q$41),"")</f>
        <v/>
      </c>
      <c r="M41" s="78" t="str">
        <f>IF(AND('Mapa final'!$AA$42="Baja",'Mapa final'!$AC$42="Leve"),CONCATENATE("R6C",'Mapa final'!$Q$42),"")</f>
        <v/>
      </c>
      <c r="N41" s="78" t="str">
        <f>IF(AND('Mapa final'!$AA$43="Baja",'Mapa final'!$AC$43="Leve"),CONCATENATE("R6C",'Mapa final'!$Q$43),"")</f>
        <v/>
      </c>
      <c r="O41" s="79" t="str">
        <f>IF(AND('Mapa final'!$AA$44="Baja",'Mapa final'!$AC$44="Leve"),CONCATENATE("R6C",'Mapa final'!$Q$44),"")</f>
        <v/>
      </c>
      <c r="P41" s="68" t="str">
        <f>IF(AND('Mapa final'!$AA$39="Baja",'Mapa final'!$AC$39="Menor"),CONCATENATE("R6C",'Mapa final'!$Q$39),"")</f>
        <v/>
      </c>
      <c r="Q41" s="69" t="str">
        <f>IF(AND('Mapa final'!$AA$40="Baja",'Mapa final'!$AC$40="Menor"),CONCATENATE("R6C",'Mapa final'!$Q$40),"")</f>
        <v/>
      </c>
      <c r="R41" s="69" t="str">
        <f>IF(AND('Mapa final'!$AA$41="Baja",'Mapa final'!$AC$41="Menor"),CONCATENATE("R6C",'Mapa final'!$Q$41),"")</f>
        <v/>
      </c>
      <c r="S41" s="69" t="str">
        <f>IF(AND('Mapa final'!$AA$42="Baja",'Mapa final'!$AC$42="Menor"),CONCATENATE("R6C",'Mapa final'!$Q$42),"")</f>
        <v/>
      </c>
      <c r="T41" s="69" t="str">
        <f>IF(AND('Mapa final'!$AA$43="Baja",'Mapa final'!$AC$43="Menor"),CONCATENATE("R6C",'Mapa final'!$Q$43),"")</f>
        <v/>
      </c>
      <c r="U41" s="70" t="str">
        <f>IF(AND('Mapa final'!$AA$44="Baja",'Mapa final'!$AC$44="Menor"),CONCATENATE("R6C",'Mapa final'!$Q$44),"")</f>
        <v/>
      </c>
      <c r="V41" s="68" t="str">
        <f>IF(AND('Mapa final'!$AA$39="Baja",'Mapa final'!$AC$39="Moderado"),CONCATENATE("R6C",'Mapa final'!$Q$39),"")</f>
        <v/>
      </c>
      <c r="W41" s="69" t="str">
        <f>IF(AND('Mapa final'!$AA$40="Baja",'Mapa final'!$AC$40="Moderado"),CONCATENATE("R6C",'Mapa final'!$Q$40),"")</f>
        <v/>
      </c>
      <c r="X41" s="69" t="str">
        <f>IF(AND('Mapa final'!$AA$41="Baja",'Mapa final'!$AC$41="Moderado"),CONCATENATE("R6C",'Mapa final'!$Q$41),"")</f>
        <v/>
      </c>
      <c r="Y41" s="69" t="str">
        <f>IF(AND('Mapa final'!$AA$42="Baja",'Mapa final'!$AC$42="Moderado"),CONCATENATE("R6C",'Mapa final'!$Q$42),"")</f>
        <v/>
      </c>
      <c r="Z41" s="69" t="str">
        <f>IF(AND('Mapa final'!$AA$43="Baja",'Mapa final'!$AC$43="Moderado"),CONCATENATE("R6C",'Mapa final'!$Q$43),"")</f>
        <v/>
      </c>
      <c r="AA41" s="70" t="str">
        <f>IF(AND('Mapa final'!$AA$44="Baja",'Mapa final'!$AC$44="Moderado"),CONCATENATE("R6C",'Mapa final'!$Q$44),"")</f>
        <v/>
      </c>
      <c r="AB41" s="52" t="str">
        <f>IF(AND('Mapa final'!$AA$39="Baja",'Mapa final'!$AC$39="Mayor"),CONCATENATE("R6C",'Mapa final'!$Q$39),"")</f>
        <v/>
      </c>
      <c r="AC41" s="53" t="str">
        <f>IF(AND('Mapa final'!$AA$40="Baja",'Mapa final'!$AC$40="Mayor"),CONCATENATE("R6C",'Mapa final'!$Q$40),"")</f>
        <v/>
      </c>
      <c r="AD41" s="58" t="str">
        <f>IF(AND('Mapa final'!$AA$41="Baja",'Mapa final'!$AC$41="Mayor"),CONCATENATE("R6C",'Mapa final'!$Q$41),"")</f>
        <v/>
      </c>
      <c r="AE41" s="58" t="str">
        <f>IF(AND('Mapa final'!$AA$42="Baja",'Mapa final'!$AC$42="Mayor"),CONCATENATE("R6C",'Mapa final'!$Q$42),"")</f>
        <v/>
      </c>
      <c r="AF41" s="58" t="str">
        <f>IF(AND('Mapa final'!$AA$43="Baja",'Mapa final'!$AC$43="Mayor"),CONCATENATE("R6C",'Mapa final'!$Q$43),"")</f>
        <v/>
      </c>
      <c r="AG41" s="54" t="str">
        <f>IF(AND('Mapa final'!$AA$44="Baja",'Mapa final'!$AC$44="Mayor"),CONCATENATE("R6C",'Mapa final'!$Q$44),"")</f>
        <v/>
      </c>
      <c r="AH41" s="55" t="str">
        <f>IF(AND('Mapa final'!$AA$39="Baja",'Mapa final'!$AC$39="Catastrófico"),CONCATENATE("R6C",'Mapa final'!$Q$39),"")</f>
        <v/>
      </c>
      <c r="AI41" s="56" t="str">
        <f>IF(AND('Mapa final'!$AA$40="Baja",'Mapa final'!$AC$40="Catastrófico"),CONCATENATE("R6C",'Mapa final'!$Q$40),"")</f>
        <v/>
      </c>
      <c r="AJ41" s="56" t="str">
        <f>IF(AND('Mapa final'!$AA$41="Baja",'Mapa final'!$AC$41="Catastrófico"),CONCATENATE("R6C",'Mapa final'!$Q$41),"")</f>
        <v/>
      </c>
      <c r="AK41" s="56" t="str">
        <f>IF(AND('Mapa final'!$AA$42="Baja",'Mapa final'!$AC$42="Catastrófico"),CONCATENATE("R6C",'Mapa final'!$Q$42),"")</f>
        <v/>
      </c>
      <c r="AL41" s="56" t="str">
        <f>IF(AND('Mapa final'!$AA$43="Baja",'Mapa final'!$AC$43="Catastrófico"),CONCATENATE("R6C",'Mapa final'!$Q$43),"")</f>
        <v/>
      </c>
      <c r="AM41" s="57" t="str">
        <f>IF(AND('Mapa final'!$AA$44="Baja",'Mapa final'!$AC$44="Catastrófico"),CONCATENATE("R6C",'Mapa final'!$Q$44),"")</f>
        <v/>
      </c>
      <c r="AN41" s="84"/>
      <c r="AO41" s="404"/>
      <c r="AP41" s="405"/>
      <c r="AQ41" s="405"/>
      <c r="AR41" s="405"/>
      <c r="AS41" s="405"/>
      <c r="AT41" s="406"/>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2"/>
      <c r="C42" s="282"/>
      <c r="D42" s="283"/>
      <c r="E42" s="383"/>
      <c r="F42" s="384"/>
      <c r="G42" s="384"/>
      <c r="H42" s="384"/>
      <c r="I42" s="382"/>
      <c r="J42" s="77" t="str">
        <f>IF(AND('Mapa final'!$AA$45="Baja",'Mapa final'!$AC$45="Leve"),CONCATENATE("R7C",'Mapa final'!$Q$45),"")</f>
        <v/>
      </c>
      <c r="K42" s="78" t="str">
        <f>IF(AND('Mapa final'!$AA$46="Baja",'Mapa final'!$AC$46="Leve"),CONCATENATE("R7C",'Mapa final'!$Q$46),"")</f>
        <v/>
      </c>
      <c r="L42" s="78" t="str">
        <f>IF(AND('Mapa final'!$AA$47="Baja",'Mapa final'!$AC$47="Leve"),CONCATENATE("R7C",'Mapa final'!$Q$47),"")</f>
        <v/>
      </c>
      <c r="M42" s="78" t="str">
        <f>IF(AND('Mapa final'!$AA$48="Baja",'Mapa final'!$AC$48="Leve"),CONCATENATE("R7C",'Mapa final'!$Q$48),"")</f>
        <v/>
      </c>
      <c r="N42" s="78" t="str">
        <f>IF(AND('Mapa final'!$AA$49="Baja",'Mapa final'!$AC$49="Leve"),CONCATENATE("R7C",'Mapa final'!$Q$49),"")</f>
        <v/>
      </c>
      <c r="O42" s="79" t="str">
        <f>IF(AND('Mapa final'!$AA$50="Baja",'Mapa final'!$AC$50="Leve"),CONCATENATE("R7C",'Mapa final'!$Q$50),"")</f>
        <v/>
      </c>
      <c r="P42" s="68" t="str">
        <f>IF(AND('Mapa final'!$AA$45="Baja",'Mapa final'!$AC$45="Menor"),CONCATENATE("R7C",'Mapa final'!$Q$45),"")</f>
        <v/>
      </c>
      <c r="Q42" s="69" t="str">
        <f>IF(AND('Mapa final'!$AA$46="Baja",'Mapa final'!$AC$46="Menor"),CONCATENATE("R7C",'Mapa final'!$Q$46),"")</f>
        <v/>
      </c>
      <c r="R42" s="69" t="str">
        <f>IF(AND('Mapa final'!$AA$47="Baja",'Mapa final'!$AC$47="Menor"),CONCATENATE("R7C",'Mapa final'!$Q$47),"")</f>
        <v/>
      </c>
      <c r="S42" s="69" t="str">
        <f>IF(AND('Mapa final'!$AA$48="Baja",'Mapa final'!$AC$48="Menor"),CONCATENATE("R7C",'Mapa final'!$Q$48),"")</f>
        <v/>
      </c>
      <c r="T42" s="69" t="str">
        <f>IF(AND('Mapa final'!$AA$49="Baja",'Mapa final'!$AC$49="Menor"),CONCATENATE("R7C",'Mapa final'!$Q$49),"")</f>
        <v/>
      </c>
      <c r="U42" s="70" t="str">
        <f>IF(AND('Mapa final'!$AA$50="Baja",'Mapa final'!$AC$50="Menor"),CONCATENATE("R7C",'Mapa final'!$Q$50),"")</f>
        <v/>
      </c>
      <c r="V42" s="68" t="str">
        <f>IF(AND('Mapa final'!$AA$45="Baja",'Mapa final'!$AC$45="Moderado"),CONCATENATE("R7C",'Mapa final'!$Q$45),"")</f>
        <v/>
      </c>
      <c r="W42" s="69" t="str">
        <f>IF(AND('Mapa final'!$AA$46="Baja",'Mapa final'!$AC$46="Moderado"),CONCATENATE("R7C",'Mapa final'!$Q$46),"")</f>
        <v/>
      </c>
      <c r="X42" s="69" t="str">
        <f>IF(AND('Mapa final'!$AA$47="Baja",'Mapa final'!$AC$47="Moderado"),CONCATENATE("R7C",'Mapa final'!$Q$47),"")</f>
        <v/>
      </c>
      <c r="Y42" s="69" t="str">
        <f>IF(AND('Mapa final'!$AA$48="Baja",'Mapa final'!$AC$48="Moderado"),CONCATENATE("R7C",'Mapa final'!$Q$48),"")</f>
        <v/>
      </c>
      <c r="Z42" s="69" t="str">
        <f>IF(AND('Mapa final'!$AA$49="Baja",'Mapa final'!$AC$49="Moderado"),CONCATENATE("R7C",'Mapa final'!$Q$49),"")</f>
        <v/>
      </c>
      <c r="AA42" s="70" t="str">
        <f>IF(AND('Mapa final'!$AA$50="Baja",'Mapa final'!$AC$50="Moderado"),CONCATENATE("R7C",'Mapa final'!$Q$50),"")</f>
        <v/>
      </c>
      <c r="AB42" s="52" t="str">
        <f>IF(AND('Mapa final'!$AA$45="Baja",'Mapa final'!$AC$45="Mayor"),CONCATENATE("R7C",'Mapa final'!$Q$45),"")</f>
        <v/>
      </c>
      <c r="AC42" s="53" t="str">
        <f>IF(AND('Mapa final'!$AA$46="Baja",'Mapa final'!$AC$46="Mayor"),CONCATENATE("R7C",'Mapa final'!$Q$46),"")</f>
        <v/>
      </c>
      <c r="AD42" s="58" t="str">
        <f>IF(AND('Mapa final'!$AA$47="Baja",'Mapa final'!$AC$47="Mayor"),CONCATENATE("R7C",'Mapa final'!$Q$47),"")</f>
        <v/>
      </c>
      <c r="AE42" s="58" t="str">
        <f>IF(AND('Mapa final'!$AA$48="Baja",'Mapa final'!$AC$48="Mayor"),CONCATENATE("R7C",'Mapa final'!$Q$48),"")</f>
        <v/>
      </c>
      <c r="AF42" s="58" t="str">
        <f>IF(AND('Mapa final'!$AA$49="Baja",'Mapa final'!$AC$49="Mayor"),CONCATENATE("R7C",'Mapa final'!$Q$49),"")</f>
        <v/>
      </c>
      <c r="AG42" s="54" t="str">
        <f>IF(AND('Mapa final'!$AA$50="Baja",'Mapa final'!$AC$50="Mayor"),CONCATENATE("R7C",'Mapa final'!$Q$50),"")</f>
        <v/>
      </c>
      <c r="AH42" s="55" t="str">
        <f>IF(AND('Mapa final'!$AA$45="Baja",'Mapa final'!$AC$45="Catastrófico"),CONCATENATE("R7C",'Mapa final'!$Q$45),"")</f>
        <v/>
      </c>
      <c r="AI42" s="56" t="str">
        <f>IF(AND('Mapa final'!$AA$46="Baja",'Mapa final'!$AC$46="Catastrófico"),CONCATENATE("R7C",'Mapa final'!$Q$46),"")</f>
        <v/>
      </c>
      <c r="AJ42" s="56" t="str">
        <f>IF(AND('Mapa final'!$AA$47="Baja",'Mapa final'!$AC$47="Catastrófico"),CONCATENATE("R7C",'Mapa final'!$Q$47),"")</f>
        <v/>
      </c>
      <c r="AK42" s="56" t="str">
        <f>IF(AND('Mapa final'!$AA$48="Baja",'Mapa final'!$AC$48="Catastrófico"),CONCATENATE("R7C",'Mapa final'!$Q$48),"")</f>
        <v/>
      </c>
      <c r="AL42" s="56" t="str">
        <f>IF(AND('Mapa final'!$AA$49="Baja",'Mapa final'!$AC$49="Catastrófico"),CONCATENATE("R7C",'Mapa final'!$Q$49),"")</f>
        <v/>
      </c>
      <c r="AM42" s="57" t="str">
        <f>IF(AND('Mapa final'!$AA$50="Baja",'Mapa final'!$AC$50="Catastrófico"),CONCATENATE("R7C",'Mapa final'!$Q$50),"")</f>
        <v/>
      </c>
      <c r="AN42" s="84"/>
      <c r="AO42" s="404"/>
      <c r="AP42" s="405"/>
      <c r="AQ42" s="405"/>
      <c r="AR42" s="405"/>
      <c r="AS42" s="405"/>
      <c r="AT42" s="406"/>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2"/>
      <c r="C43" s="282"/>
      <c r="D43" s="283"/>
      <c r="E43" s="383"/>
      <c r="F43" s="384"/>
      <c r="G43" s="384"/>
      <c r="H43" s="384"/>
      <c r="I43" s="382"/>
      <c r="J43" s="77" t="str">
        <f>IF(AND('Mapa final'!$AA$51="Baja",'Mapa final'!$AC$51="Leve"),CONCATENATE("R8C",'Mapa final'!$Q$51),"")</f>
        <v/>
      </c>
      <c r="K43" s="78" t="str">
        <f>IF(AND('Mapa final'!$AA$52="Baja",'Mapa final'!$AC$52="Leve"),CONCATENATE("R8C",'Mapa final'!$Q$52),"")</f>
        <v/>
      </c>
      <c r="L43" s="78" t="str">
        <f>IF(AND('Mapa final'!$AA$53="Baja",'Mapa final'!$AC$53="Leve"),CONCATENATE("R8C",'Mapa final'!$Q$53),"")</f>
        <v/>
      </c>
      <c r="M43" s="78" t="str">
        <f>IF(AND('Mapa final'!$AA$54="Baja",'Mapa final'!$AC$54="Leve"),CONCATENATE("R8C",'Mapa final'!$Q$54),"")</f>
        <v/>
      </c>
      <c r="N43" s="78" t="str">
        <f>IF(AND('Mapa final'!$AA$55="Baja",'Mapa final'!$AC$55="Leve"),CONCATENATE("R8C",'Mapa final'!$Q$55),"")</f>
        <v/>
      </c>
      <c r="O43" s="79" t="str">
        <f>IF(AND('Mapa final'!$AA$56="Baja",'Mapa final'!$AC$56="Leve"),CONCATENATE("R8C",'Mapa final'!$Q$56),"")</f>
        <v/>
      </c>
      <c r="P43" s="68" t="str">
        <f>IF(AND('Mapa final'!$AA$51="Baja",'Mapa final'!$AC$51="Menor"),CONCATENATE("R8C",'Mapa final'!$Q$51),"")</f>
        <v/>
      </c>
      <c r="Q43" s="69" t="str">
        <f>IF(AND('Mapa final'!$AA$52="Baja",'Mapa final'!$AC$52="Menor"),CONCATENATE("R8C",'Mapa final'!$Q$52),"")</f>
        <v/>
      </c>
      <c r="R43" s="69" t="str">
        <f>IF(AND('Mapa final'!$AA$53="Baja",'Mapa final'!$AC$53="Menor"),CONCATENATE("R8C",'Mapa final'!$Q$53),"")</f>
        <v/>
      </c>
      <c r="S43" s="69" t="str">
        <f>IF(AND('Mapa final'!$AA$54="Baja",'Mapa final'!$AC$54="Menor"),CONCATENATE("R8C",'Mapa final'!$Q$54),"")</f>
        <v/>
      </c>
      <c r="T43" s="69" t="str">
        <f>IF(AND('Mapa final'!$AA$55="Baja",'Mapa final'!$AC$55="Menor"),CONCATENATE("R8C",'Mapa final'!$Q$55),"")</f>
        <v/>
      </c>
      <c r="U43" s="70" t="str">
        <f>IF(AND('Mapa final'!$AA$56="Baja",'Mapa final'!$AC$56="Menor"),CONCATENATE("R8C",'Mapa final'!$Q$56),"")</f>
        <v/>
      </c>
      <c r="V43" s="68" t="str">
        <f>IF(AND('Mapa final'!$AA$51="Baja",'Mapa final'!$AC$51="Moderado"),CONCATENATE("R8C",'Mapa final'!$Q$51),"")</f>
        <v/>
      </c>
      <c r="W43" s="69" t="str">
        <f>IF(AND('Mapa final'!$AA$52="Baja",'Mapa final'!$AC$52="Moderado"),CONCATENATE("R8C",'Mapa final'!$Q$52),"")</f>
        <v/>
      </c>
      <c r="X43" s="69" t="str">
        <f>IF(AND('Mapa final'!$AA$53="Baja",'Mapa final'!$AC$53="Moderado"),CONCATENATE("R8C",'Mapa final'!$Q$53),"")</f>
        <v/>
      </c>
      <c r="Y43" s="69" t="str">
        <f>IF(AND('Mapa final'!$AA$54="Baja",'Mapa final'!$AC$54="Moderado"),CONCATENATE("R8C",'Mapa final'!$Q$54),"")</f>
        <v/>
      </c>
      <c r="Z43" s="69" t="str">
        <f>IF(AND('Mapa final'!$AA$55="Baja",'Mapa final'!$AC$55="Moderado"),CONCATENATE("R8C",'Mapa final'!$Q$55),"")</f>
        <v/>
      </c>
      <c r="AA43" s="70" t="str">
        <f>IF(AND('Mapa final'!$AA$56="Baja",'Mapa final'!$AC$56="Moderado"),CONCATENATE("R8C",'Mapa final'!$Q$56),"")</f>
        <v/>
      </c>
      <c r="AB43" s="52" t="str">
        <f>IF(AND('Mapa final'!$AA$51="Baja",'Mapa final'!$AC$51="Mayor"),CONCATENATE("R8C",'Mapa final'!$Q$51),"")</f>
        <v/>
      </c>
      <c r="AC43" s="53" t="str">
        <f>IF(AND('Mapa final'!$AA$52="Baja",'Mapa final'!$AC$52="Mayor"),CONCATENATE("R8C",'Mapa final'!$Q$52),"")</f>
        <v/>
      </c>
      <c r="AD43" s="58" t="str">
        <f>IF(AND('Mapa final'!$AA$53="Baja",'Mapa final'!$AC$53="Mayor"),CONCATENATE("R8C",'Mapa final'!$Q$53),"")</f>
        <v/>
      </c>
      <c r="AE43" s="58" t="str">
        <f>IF(AND('Mapa final'!$AA$54="Baja",'Mapa final'!$AC$54="Mayor"),CONCATENATE("R8C",'Mapa final'!$Q$54),"")</f>
        <v/>
      </c>
      <c r="AF43" s="58" t="str">
        <f>IF(AND('Mapa final'!$AA$55="Baja",'Mapa final'!$AC$55="Mayor"),CONCATENATE("R8C",'Mapa final'!$Q$55),"")</f>
        <v/>
      </c>
      <c r="AG43" s="54" t="str">
        <f>IF(AND('Mapa final'!$AA$56="Baja",'Mapa final'!$AC$56="Mayor"),CONCATENATE("R8C",'Mapa final'!$Q$56),"")</f>
        <v/>
      </c>
      <c r="AH43" s="55" t="str">
        <f>IF(AND('Mapa final'!$AA$51="Baja",'Mapa final'!$AC$51="Catastrófico"),CONCATENATE("R8C",'Mapa final'!$Q$51),"")</f>
        <v/>
      </c>
      <c r="AI43" s="56" t="str">
        <f>IF(AND('Mapa final'!$AA$52="Baja",'Mapa final'!$AC$52="Catastrófico"),CONCATENATE("R8C",'Mapa final'!$Q$52),"")</f>
        <v/>
      </c>
      <c r="AJ43" s="56" t="str">
        <f>IF(AND('Mapa final'!$AA$53="Baja",'Mapa final'!$AC$53="Catastrófico"),CONCATENATE("R8C",'Mapa final'!$Q$53),"")</f>
        <v/>
      </c>
      <c r="AK43" s="56" t="str">
        <f>IF(AND('Mapa final'!$AA$54="Baja",'Mapa final'!$AC$54="Catastrófico"),CONCATENATE("R8C",'Mapa final'!$Q$54),"")</f>
        <v/>
      </c>
      <c r="AL43" s="56" t="str">
        <f>IF(AND('Mapa final'!$AA$55="Baja",'Mapa final'!$AC$55="Catastrófico"),CONCATENATE("R8C",'Mapa final'!$Q$55),"")</f>
        <v/>
      </c>
      <c r="AM43" s="57" t="str">
        <f>IF(AND('Mapa final'!$AA$56="Baja",'Mapa final'!$AC$56="Catastrófico"),CONCATENATE("R8C",'Mapa final'!$Q$56),"")</f>
        <v/>
      </c>
      <c r="AN43" s="84"/>
      <c r="AO43" s="404"/>
      <c r="AP43" s="405"/>
      <c r="AQ43" s="405"/>
      <c r="AR43" s="405"/>
      <c r="AS43" s="405"/>
      <c r="AT43" s="406"/>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2"/>
      <c r="C44" s="282"/>
      <c r="D44" s="283"/>
      <c r="E44" s="383"/>
      <c r="F44" s="384"/>
      <c r="G44" s="384"/>
      <c r="H44" s="384"/>
      <c r="I44" s="382"/>
      <c r="J44" s="77" t="str">
        <f>IF(AND('Mapa final'!$AA$57="Baja",'Mapa final'!$AC$57="Leve"),CONCATENATE("R9C",'Mapa final'!$Q$57),"")</f>
        <v/>
      </c>
      <c r="K44" s="78" t="str">
        <f>IF(AND('Mapa final'!$AA$58="Baja",'Mapa final'!$AC$58="Leve"),CONCATENATE("R9C",'Mapa final'!$Q$58),"")</f>
        <v/>
      </c>
      <c r="L44" s="78" t="str">
        <f>IF(AND('Mapa final'!$AA$59="Baja",'Mapa final'!$AC$59="Leve"),CONCATENATE("R9C",'Mapa final'!$Q$59),"")</f>
        <v/>
      </c>
      <c r="M44" s="78" t="str">
        <f>IF(AND('Mapa final'!$AA$60="Baja",'Mapa final'!$AC$60="Leve"),CONCATENATE("R9C",'Mapa final'!$Q$60),"")</f>
        <v/>
      </c>
      <c r="N44" s="78" t="str">
        <f>IF(AND('Mapa final'!$AA$61="Baja",'Mapa final'!$AC$61="Leve"),CONCATENATE("R9C",'Mapa final'!$Q$61),"")</f>
        <v/>
      </c>
      <c r="O44" s="79" t="str">
        <f>IF(AND('Mapa final'!$AA$62="Baja",'Mapa final'!$AC$62="Leve"),CONCATENATE("R9C",'Mapa final'!$Q$62),"")</f>
        <v/>
      </c>
      <c r="P44" s="68" t="str">
        <f>IF(AND('Mapa final'!$AA$57="Baja",'Mapa final'!$AC$57="Menor"),CONCATENATE("R9C",'Mapa final'!$Q$57),"")</f>
        <v/>
      </c>
      <c r="Q44" s="69" t="str">
        <f>IF(AND('Mapa final'!$AA$58="Baja",'Mapa final'!$AC$58="Menor"),CONCATENATE("R9C",'Mapa final'!$Q$58),"")</f>
        <v/>
      </c>
      <c r="R44" s="69" t="str">
        <f>IF(AND('Mapa final'!$AA$59="Baja",'Mapa final'!$AC$59="Menor"),CONCATENATE("R9C",'Mapa final'!$Q$59),"")</f>
        <v/>
      </c>
      <c r="S44" s="69" t="str">
        <f>IF(AND('Mapa final'!$AA$60="Baja",'Mapa final'!$AC$60="Menor"),CONCATENATE("R9C",'Mapa final'!$Q$60),"")</f>
        <v/>
      </c>
      <c r="T44" s="69" t="str">
        <f>IF(AND('Mapa final'!$AA$61="Baja",'Mapa final'!$AC$61="Menor"),CONCATENATE("R9C",'Mapa final'!$Q$61),"")</f>
        <v/>
      </c>
      <c r="U44" s="70" t="str">
        <f>IF(AND('Mapa final'!$AA$62="Baja",'Mapa final'!$AC$62="Menor"),CONCATENATE("R9C",'Mapa final'!$Q$62),"")</f>
        <v/>
      </c>
      <c r="V44" s="68" t="str">
        <f>IF(AND('Mapa final'!$AA$57="Baja",'Mapa final'!$AC$57="Moderado"),CONCATENATE("R9C",'Mapa final'!$Q$57),"")</f>
        <v/>
      </c>
      <c r="W44" s="69" t="str">
        <f>IF(AND('Mapa final'!$AA$58="Baja",'Mapa final'!$AC$58="Moderado"),CONCATENATE("R9C",'Mapa final'!$Q$58),"")</f>
        <v/>
      </c>
      <c r="X44" s="69" t="str">
        <f>IF(AND('Mapa final'!$AA$59="Baja",'Mapa final'!$AC$59="Moderado"),CONCATENATE("R9C",'Mapa final'!$Q$59),"")</f>
        <v/>
      </c>
      <c r="Y44" s="69" t="str">
        <f>IF(AND('Mapa final'!$AA$60="Baja",'Mapa final'!$AC$60="Moderado"),CONCATENATE("R9C",'Mapa final'!$Q$60),"")</f>
        <v/>
      </c>
      <c r="Z44" s="69" t="str">
        <f>IF(AND('Mapa final'!$AA$61="Baja",'Mapa final'!$AC$61="Moderado"),CONCATENATE("R9C",'Mapa final'!$Q$61),"")</f>
        <v/>
      </c>
      <c r="AA44" s="70" t="str">
        <f>IF(AND('Mapa final'!$AA$62="Baja",'Mapa final'!$AC$62="Moderado"),CONCATENATE("R9C",'Mapa final'!$Q$62),"")</f>
        <v/>
      </c>
      <c r="AB44" s="52" t="str">
        <f>IF(AND('Mapa final'!$AA$57="Baja",'Mapa final'!$AC$57="Mayor"),CONCATENATE("R9C",'Mapa final'!$Q$57),"")</f>
        <v/>
      </c>
      <c r="AC44" s="53" t="str">
        <f>IF(AND('Mapa final'!$AA$58="Baja",'Mapa final'!$AC$58="Mayor"),CONCATENATE("R9C",'Mapa final'!$Q$58),"")</f>
        <v/>
      </c>
      <c r="AD44" s="58" t="str">
        <f>IF(AND('Mapa final'!$AA$59="Baja",'Mapa final'!$AC$59="Mayor"),CONCATENATE("R9C",'Mapa final'!$Q$59),"")</f>
        <v/>
      </c>
      <c r="AE44" s="58" t="str">
        <f>IF(AND('Mapa final'!$AA$60="Baja",'Mapa final'!$AC$60="Mayor"),CONCATENATE("R9C",'Mapa final'!$Q$60),"")</f>
        <v/>
      </c>
      <c r="AF44" s="58" t="str">
        <f>IF(AND('Mapa final'!$AA$61="Baja",'Mapa final'!$AC$61="Mayor"),CONCATENATE("R9C",'Mapa final'!$Q$61),"")</f>
        <v/>
      </c>
      <c r="AG44" s="54" t="str">
        <f>IF(AND('Mapa final'!$AA$62="Baja",'Mapa final'!$AC$62="Mayor"),CONCATENATE("R9C",'Mapa final'!$Q$62),"")</f>
        <v/>
      </c>
      <c r="AH44" s="55" t="str">
        <f>IF(AND('Mapa final'!$AA$57="Baja",'Mapa final'!$AC$57="Catastrófico"),CONCATENATE("R9C",'Mapa final'!$Q$57),"")</f>
        <v/>
      </c>
      <c r="AI44" s="56" t="str">
        <f>IF(AND('Mapa final'!$AA$58="Baja",'Mapa final'!$AC$58="Catastrófico"),CONCATENATE("R9C",'Mapa final'!$Q$58),"")</f>
        <v/>
      </c>
      <c r="AJ44" s="56" t="str">
        <f>IF(AND('Mapa final'!$AA$59="Baja",'Mapa final'!$AC$59="Catastrófico"),CONCATENATE("R9C",'Mapa final'!$Q$59),"")</f>
        <v/>
      </c>
      <c r="AK44" s="56" t="str">
        <f>IF(AND('Mapa final'!$AA$60="Baja",'Mapa final'!$AC$60="Catastrófico"),CONCATENATE("R9C",'Mapa final'!$Q$60),"")</f>
        <v/>
      </c>
      <c r="AL44" s="56" t="str">
        <f>IF(AND('Mapa final'!$AA$61="Baja",'Mapa final'!$AC$61="Catastrófico"),CONCATENATE("R9C",'Mapa final'!$Q$61),"")</f>
        <v/>
      </c>
      <c r="AM44" s="57" t="str">
        <f>IF(AND('Mapa final'!$AA$62="Baja",'Mapa final'!$AC$62="Catastrófico"),CONCATENATE("R9C",'Mapa final'!$Q$62),"")</f>
        <v/>
      </c>
      <c r="AN44" s="84"/>
      <c r="AO44" s="404"/>
      <c r="AP44" s="405"/>
      <c r="AQ44" s="405"/>
      <c r="AR44" s="405"/>
      <c r="AS44" s="405"/>
      <c r="AT44" s="406"/>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2"/>
      <c r="C45" s="282"/>
      <c r="D45" s="283"/>
      <c r="E45" s="385"/>
      <c r="F45" s="386"/>
      <c r="G45" s="386"/>
      <c r="H45" s="386"/>
      <c r="I45" s="386"/>
      <c r="J45" s="80" t="str">
        <f>IF(AND('Mapa final'!$AA$63="Baja",'Mapa final'!$AC$63="Leve"),CONCATENATE("R10C",'Mapa final'!$Q$63),"")</f>
        <v/>
      </c>
      <c r="K45" s="81" t="str">
        <f>IF(AND('Mapa final'!$AA$64="Baja",'Mapa final'!$AC$64="Leve"),CONCATENATE("R10C",'Mapa final'!$Q$64),"")</f>
        <v/>
      </c>
      <c r="L45" s="81" t="str">
        <f>IF(AND('Mapa final'!$AA$65="Baja",'Mapa final'!$AC$65="Leve"),CONCATENATE("R10C",'Mapa final'!$Q$65),"")</f>
        <v/>
      </c>
      <c r="M45" s="81" t="str">
        <f>IF(AND('Mapa final'!$AA$66="Baja",'Mapa final'!$AC$66="Leve"),CONCATENATE("R10C",'Mapa final'!$Q$66),"")</f>
        <v/>
      </c>
      <c r="N45" s="81" t="str">
        <f>IF(AND('Mapa final'!$AA$67="Baja",'Mapa final'!$AC$67="Leve"),CONCATENATE("R10C",'Mapa final'!$Q$67),"")</f>
        <v/>
      </c>
      <c r="O45" s="82" t="str">
        <f>IF(AND('Mapa final'!$AA$68="Baja",'Mapa final'!$AC$68="Leve"),CONCATENATE("R10C",'Mapa final'!$Q$68),"")</f>
        <v/>
      </c>
      <c r="P45" s="68" t="str">
        <f>IF(AND('Mapa final'!$AA$63="Baja",'Mapa final'!$AC$63="Menor"),CONCATENATE("R10C",'Mapa final'!$Q$63),"")</f>
        <v/>
      </c>
      <c r="Q45" s="69" t="str">
        <f>IF(AND('Mapa final'!$AA$64="Baja",'Mapa final'!$AC$64="Menor"),CONCATENATE("R10C",'Mapa final'!$Q$64),"")</f>
        <v/>
      </c>
      <c r="R45" s="69" t="str">
        <f>IF(AND('Mapa final'!$AA$65="Baja",'Mapa final'!$AC$65="Menor"),CONCATENATE("R10C",'Mapa final'!$Q$65),"")</f>
        <v/>
      </c>
      <c r="S45" s="69" t="str">
        <f>IF(AND('Mapa final'!$AA$66="Baja",'Mapa final'!$AC$66="Menor"),CONCATENATE("R10C",'Mapa final'!$Q$66),"")</f>
        <v/>
      </c>
      <c r="T45" s="69" t="str">
        <f>IF(AND('Mapa final'!$AA$67="Baja",'Mapa final'!$AC$67="Menor"),CONCATENATE("R10C",'Mapa final'!$Q$67),"")</f>
        <v/>
      </c>
      <c r="U45" s="70" t="str">
        <f>IF(AND('Mapa final'!$AA$68="Baja",'Mapa final'!$AC$68="Menor"),CONCATENATE("R10C",'Mapa final'!$Q$68),"")</f>
        <v/>
      </c>
      <c r="V45" s="71" t="str">
        <f>IF(AND('Mapa final'!$AA$63="Baja",'Mapa final'!$AC$63="Moderado"),CONCATENATE("R10C",'Mapa final'!$Q$63),"")</f>
        <v/>
      </c>
      <c r="W45" s="72" t="str">
        <f>IF(AND('Mapa final'!$AA$64="Baja",'Mapa final'!$AC$64="Moderado"),CONCATENATE("R10C",'Mapa final'!$Q$64),"")</f>
        <v/>
      </c>
      <c r="X45" s="72" t="str">
        <f>IF(AND('Mapa final'!$AA$65="Baja",'Mapa final'!$AC$65="Moderado"),CONCATENATE("R10C",'Mapa final'!$Q$65),"")</f>
        <v/>
      </c>
      <c r="Y45" s="72" t="str">
        <f>IF(AND('Mapa final'!$AA$66="Baja",'Mapa final'!$AC$66="Moderado"),CONCATENATE("R10C",'Mapa final'!$Q$66),"")</f>
        <v/>
      </c>
      <c r="Z45" s="72" t="str">
        <f>IF(AND('Mapa final'!$AA$67="Baja",'Mapa final'!$AC$67="Moderado"),CONCATENATE("R10C",'Mapa final'!$Q$67),"")</f>
        <v/>
      </c>
      <c r="AA45" s="73" t="str">
        <f>IF(AND('Mapa final'!$AA$68="Baja",'Mapa final'!$AC$68="Moderado"),CONCATENATE("R10C",'Mapa final'!$Q$68),"")</f>
        <v/>
      </c>
      <c r="AB45" s="59" t="str">
        <f>IF(AND('Mapa final'!$AA$63="Baja",'Mapa final'!$AC$63="Mayor"),CONCATENATE("R10C",'Mapa final'!$Q$63),"")</f>
        <v/>
      </c>
      <c r="AC45" s="60" t="str">
        <f>IF(AND('Mapa final'!$AA$64="Baja",'Mapa final'!$AC$64="Mayor"),CONCATENATE("R10C",'Mapa final'!$Q$64),"")</f>
        <v/>
      </c>
      <c r="AD45" s="60" t="str">
        <f>IF(AND('Mapa final'!$AA$65="Baja",'Mapa final'!$AC$65="Mayor"),CONCATENATE("R10C",'Mapa final'!$Q$65),"")</f>
        <v/>
      </c>
      <c r="AE45" s="60" t="str">
        <f>IF(AND('Mapa final'!$AA$66="Baja",'Mapa final'!$AC$66="Mayor"),CONCATENATE("R10C",'Mapa final'!$Q$66),"")</f>
        <v/>
      </c>
      <c r="AF45" s="60" t="str">
        <f>IF(AND('Mapa final'!$AA$67="Baja",'Mapa final'!$AC$67="Mayor"),CONCATENATE("R10C",'Mapa final'!$Q$67),"")</f>
        <v/>
      </c>
      <c r="AG45" s="61" t="str">
        <f>IF(AND('Mapa final'!$AA$68="Baja",'Mapa final'!$AC$68="Mayor"),CONCATENATE("R10C",'Mapa final'!$Q$68),"")</f>
        <v/>
      </c>
      <c r="AH45" s="62" t="str">
        <f>IF(AND('Mapa final'!$AA$63="Baja",'Mapa final'!$AC$63="Catastrófico"),CONCATENATE("R10C",'Mapa final'!$Q$63),"")</f>
        <v/>
      </c>
      <c r="AI45" s="63" t="str">
        <f>IF(AND('Mapa final'!$AA$64="Baja",'Mapa final'!$AC$64="Catastrófico"),CONCATENATE("R10C",'Mapa final'!$Q$64),"")</f>
        <v/>
      </c>
      <c r="AJ45" s="63" t="str">
        <f>IF(AND('Mapa final'!$AA$65="Baja",'Mapa final'!$AC$65="Catastrófico"),CONCATENATE("R10C",'Mapa final'!$Q$65),"")</f>
        <v/>
      </c>
      <c r="AK45" s="63" t="str">
        <f>IF(AND('Mapa final'!$AA$66="Baja",'Mapa final'!$AC$66="Catastrófico"),CONCATENATE("R10C",'Mapa final'!$Q$66),"")</f>
        <v/>
      </c>
      <c r="AL45" s="63" t="str">
        <f>IF(AND('Mapa final'!$AA$67="Baja",'Mapa final'!$AC$67="Catastrófico"),CONCATENATE("R10C",'Mapa final'!$Q$67),"")</f>
        <v/>
      </c>
      <c r="AM45" s="64" t="str">
        <f>IF(AND('Mapa final'!$AA$68="Baja",'Mapa final'!$AC$68="Catastrófico"),CONCATENATE("R10C",'Mapa final'!$Q$68),"")</f>
        <v/>
      </c>
      <c r="AN45" s="84"/>
      <c r="AO45" s="407"/>
      <c r="AP45" s="408"/>
      <c r="AQ45" s="408"/>
      <c r="AR45" s="408"/>
      <c r="AS45" s="408"/>
      <c r="AT45" s="409"/>
    </row>
    <row r="46" spans="1:80" ht="46.5" customHeight="1" x14ac:dyDescent="0.35">
      <c r="A46" s="84"/>
      <c r="B46" s="282"/>
      <c r="C46" s="282"/>
      <c r="D46" s="283"/>
      <c r="E46" s="379" t="s">
        <v>105</v>
      </c>
      <c r="F46" s="380"/>
      <c r="G46" s="380"/>
      <c r="H46" s="380"/>
      <c r="I46" s="398"/>
      <c r="J46" s="74" t="str">
        <f ca="1">IF(AND('Mapa final'!$AA$11="Muy Baja",'Mapa final'!$AC$11="Leve"),CONCATENATE("R1C",'Mapa final'!$Q$11),"")</f>
        <v/>
      </c>
      <c r="K46" s="75" t="str">
        <f ca="1">IF(AND('Mapa final'!$AA$12="Muy Baja",'Mapa final'!$AC$12="Leve"),CONCATENATE("R1C",'Mapa final'!$Q$12),"")</f>
        <v/>
      </c>
      <c r="L46" s="75" t="e">
        <f>IF(AND('Mapa final'!#REF!="Muy Baja",'Mapa final'!#REF!="Leve"),CONCATENATE("R1C",'Mapa final'!#REF!),"")</f>
        <v>#REF!</v>
      </c>
      <c r="M46" s="75" t="e">
        <f>IF(AND('Mapa final'!#REF!="Muy Baja",'Mapa final'!#REF!="Leve"),CONCATENATE("R1C",'Mapa final'!#REF!),"")</f>
        <v>#REF!</v>
      </c>
      <c r="N46" s="75" t="str">
        <f>IF(AND('Mapa final'!$AA$13="Muy Baja",'Mapa final'!$AC$13="Leve"),CONCATENATE("R1C",'Mapa final'!$Q$13),"")</f>
        <v/>
      </c>
      <c r="O46" s="76" t="str">
        <f>IF(AND('Mapa final'!$AA$14="Muy Baja",'Mapa final'!$AC$14="Leve"),CONCATENATE("R1C",'Mapa final'!$Q$14),"")</f>
        <v/>
      </c>
      <c r="P46" s="74" t="str">
        <f ca="1">IF(AND('Mapa final'!$AA$11="Muy Baja",'Mapa final'!$AC$11="Menor"),CONCATENATE("R1C",'Mapa final'!$Q$11),"")</f>
        <v/>
      </c>
      <c r="Q46" s="75" t="str">
        <f ca="1">IF(AND('Mapa final'!$AA$12="Muy Baja",'Mapa final'!$AC$12="Menor"),CONCATENATE("R1C",'Mapa final'!$Q$12),"")</f>
        <v/>
      </c>
      <c r="R46" s="75" t="e">
        <f>IF(AND('Mapa final'!#REF!="Muy Baja",'Mapa final'!#REF!="Menor"),CONCATENATE("R1C",'Mapa final'!#REF!),"")</f>
        <v>#REF!</v>
      </c>
      <c r="S46" s="75" t="e">
        <f>IF(AND('Mapa final'!#REF!="Muy Baja",'Mapa final'!#REF!="Menor"),CONCATENATE("R1C",'Mapa final'!#REF!),"")</f>
        <v>#REF!</v>
      </c>
      <c r="T46" s="75" t="str">
        <f>IF(AND('Mapa final'!$AA$13="Muy Baja",'Mapa final'!$AC$13="Menor"),CONCATENATE("R1C",'Mapa final'!$Q$13),"")</f>
        <v/>
      </c>
      <c r="U46" s="76" t="str">
        <f>IF(AND('Mapa final'!$AA$14="Muy Baja",'Mapa final'!$AC$14="Menor"),CONCATENATE("R1C",'Mapa final'!$Q$14),"")</f>
        <v/>
      </c>
      <c r="V46" s="65" t="str">
        <f ca="1">IF(AND('Mapa final'!$AA$11="Muy Baja",'Mapa final'!$AC$11="Moderado"),CONCATENATE("R1C",'Mapa final'!$Q$11),"")</f>
        <v/>
      </c>
      <c r="W46" s="83" t="str">
        <f ca="1">IF(AND('Mapa final'!$AA$12="Muy Baja",'Mapa final'!$AC$12="Moderado"),CONCATENATE("R1C",'Mapa final'!$Q$12),"")</f>
        <v/>
      </c>
      <c r="X46" s="66" t="e">
        <f>IF(AND('Mapa final'!#REF!="Muy Baja",'Mapa final'!#REF!="Moderado"),CONCATENATE("R1C",'Mapa final'!#REF!),"")</f>
        <v>#REF!</v>
      </c>
      <c r="Y46" s="66" t="e">
        <f>IF(AND('Mapa final'!#REF!="Muy Baja",'Mapa final'!#REF!="Moderado"),CONCATENATE("R1C",'Mapa final'!#REF!),"")</f>
        <v>#REF!</v>
      </c>
      <c r="Z46" s="66" t="str">
        <f>IF(AND('Mapa final'!$AA$13="Muy Baja",'Mapa final'!$AC$13="Moderado"),CONCATENATE("R1C",'Mapa final'!$Q$13),"")</f>
        <v/>
      </c>
      <c r="AA46" s="67" t="str">
        <f>IF(AND('Mapa final'!$AA$14="Muy Baja",'Mapa final'!$AC$14="Moderado"),CONCATENATE("R1C",'Mapa final'!$Q$14),"")</f>
        <v/>
      </c>
      <c r="AB46" s="46" t="str">
        <f ca="1">IF(AND('Mapa final'!$AA$11="Muy Baja",'Mapa final'!$AC$11="Mayor"),CONCATENATE("R1C",'Mapa final'!$Q$11),"")</f>
        <v/>
      </c>
      <c r="AC46" s="47" t="str">
        <f ca="1">IF(AND('Mapa final'!$AA$12="Muy Baja",'Mapa final'!$AC$12="Mayor"),CONCATENATE("R1C",'Mapa final'!$Q$12),"")</f>
        <v/>
      </c>
      <c r="AD46" s="47" t="e">
        <f>IF(AND('Mapa final'!#REF!="Muy Baja",'Mapa final'!#REF!="Mayor"),CONCATENATE("R1C",'Mapa final'!#REF!),"")</f>
        <v>#REF!</v>
      </c>
      <c r="AE46" s="47" t="e">
        <f>IF(AND('Mapa final'!#REF!="Muy Baja",'Mapa final'!#REF!="Mayor"),CONCATENATE("R1C",'Mapa final'!#REF!),"")</f>
        <v>#REF!</v>
      </c>
      <c r="AF46" s="47" t="str">
        <f>IF(AND('Mapa final'!$AA$13="Muy Baja",'Mapa final'!$AC$13="Mayor"),CONCATENATE("R1C",'Mapa final'!$Q$13),"")</f>
        <v/>
      </c>
      <c r="AG46" s="48" t="str">
        <f>IF(AND('Mapa final'!$AA$14="Muy Baja",'Mapa final'!$AC$14="Mayor"),CONCATENATE("R1C",'Mapa final'!$Q$14),"")</f>
        <v/>
      </c>
      <c r="AH46" s="49" t="str">
        <f ca="1">IF(AND('Mapa final'!$AA$11="Muy Baja",'Mapa final'!$AC$11="Catastrófico"),CONCATENATE("R1C",'Mapa final'!$Q$11),"")</f>
        <v/>
      </c>
      <c r="AI46" s="50" t="str">
        <f ca="1">IF(AND('Mapa final'!$AA$12="Muy Baja",'Mapa final'!$AC$12="Catastrófico"),CONCATENATE("R1C",'Mapa final'!$Q$12),"")</f>
        <v/>
      </c>
      <c r="AJ46" s="50" t="e">
        <f>IF(AND('Mapa final'!#REF!="Muy Baja",'Mapa final'!#REF!="Catastrófico"),CONCATENATE("R1C",'Mapa final'!#REF!),"")</f>
        <v>#REF!</v>
      </c>
      <c r="AK46" s="50" t="e">
        <f>IF(AND('Mapa final'!#REF!="Muy Baja",'Mapa final'!#REF!="Catastrófico"),CONCATENATE("R1C",'Mapa final'!#REF!),"")</f>
        <v>#REF!</v>
      </c>
      <c r="AL46" s="50" t="str">
        <f>IF(AND('Mapa final'!$AA$13="Muy Baja",'Mapa final'!$AC$13="Catastrófico"),CONCATENATE("R1C",'Mapa final'!$Q$13),"")</f>
        <v/>
      </c>
      <c r="AM46" s="51" t="str">
        <f>IF(AND('Mapa final'!$AA$14="Muy Baja",'Mapa final'!$AC$14="Catastrófico"),CONCATENATE("R1C",'Mapa final'!$Q$14),"")</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2"/>
      <c r="C47" s="282"/>
      <c r="D47" s="283"/>
      <c r="E47" s="381"/>
      <c r="F47" s="382"/>
      <c r="G47" s="382"/>
      <c r="H47" s="382"/>
      <c r="I47" s="399"/>
      <c r="J47" s="77" t="str">
        <f>IF(AND('Mapa final'!$AA$15="Muy Baja",'Mapa final'!$AC$15="Leve"),CONCATENATE("R2C",'Mapa final'!$Q$15),"")</f>
        <v/>
      </c>
      <c r="K47" s="78" t="str">
        <f>IF(AND('Mapa final'!$AA$16="Muy Baja",'Mapa final'!$AC$16="Leve"),CONCATENATE("R2C",'Mapa final'!$Q$16),"")</f>
        <v/>
      </c>
      <c r="L47" s="78" t="str">
        <f>IF(AND('Mapa final'!$AA$17="Muy Baja",'Mapa final'!$AC$17="Leve"),CONCATENATE("R2C",'Mapa final'!$Q$17),"")</f>
        <v/>
      </c>
      <c r="M47" s="78" t="str">
        <f>IF(AND('Mapa final'!$AA$18="Muy Baja",'Mapa final'!$AC$18="Leve"),CONCATENATE("R2C",'Mapa final'!$Q$18),"")</f>
        <v/>
      </c>
      <c r="N47" s="78" t="str">
        <f>IF(AND('Mapa final'!$AA$19="Muy Baja",'Mapa final'!$AC$19="Leve"),CONCATENATE("R2C",'Mapa final'!$Q$19),"")</f>
        <v/>
      </c>
      <c r="O47" s="79" t="str">
        <f>IF(AND('Mapa final'!$AA$20="Muy Baja",'Mapa final'!$AC$20="Leve"),CONCATENATE("R2C",'Mapa final'!$Q$20),"")</f>
        <v/>
      </c>
      <c r="P47" s="77" t="str">
        <f>IF(AND('Mapa final'!$AA$15="Muy Baja",'Mapa final'!$AC$15="Menor"),CONCATENATE("R2C",'Mapa final'!$Q$15),"")</f>
        <v/>
      </c>
      <c r="Q47" s="78" t="str">
        <f>IF(AND('Mapa final'!$AA$16="Muy Baja",'Mapa final'!$AC$16="Menor"),CONCATENATE("R2C",'Mapa final'!$Q$16),"")</f>
        <v/>
      </c>
      <c r="R47" s="78" t="str">
        <f>IF(AND('Mapa final'!$AA$17="Muy Baja",'Mapa final'!$AC$17="Menor"),CONCATENATE("R2C",'Mapa final'!$Q$17),"")</f>
        <v/>
      </c>
      <c r="S47" s="78" t="str">
        <f>IF(AND('Mapa final'!$AA$18="Muy Baja",'Mapa final'!$AC$18="Menor"),CONCATENATE("R2C",'Mapa final'!$Q$18),"")</f>
        <v/>
      </c>
      <c r="T47" s="78" t="str">
        <f>IF(AND('Mapa final'!$AA$19="Muy Baja",'Mapa final'!$AC$19="Menor"),CONCATENATE("R2C",'Mapa final'!$Q$19),"")</f>
        <v/>
      </c>
      <c r="U47" s="79" t="str">
        <f>IF(AND('Mapa final'!$AA$20="Muy Baja",'Mapa final'!$AC$20="Menor"),CONCATENATE("R2C",'Mapa final'!$Q$20),"")</f>
        <v/>
      </c>
      <c r="V47" s="68" t="str">
        <f>IF(AND('Mapa final'!$AA$15="Muy Baja",'Mapa final'!$AC$15="Moderado"),CONCATENATE("R2C",'Mapa final'!$Q$15),"")</f>
        <v/>
      </c>
      <c r="W47" s="69" t="str">
        <f>IF(AND('Mapa final'!$AA$16="Muy Baja",'Mapa final'!$AC$16="Moderado"),CONCATENATE("R2C",'Mapa final'!$Q$16),"")</f>
        <v/>
      </c>
      <c r="X47" s="69" t="str">
        <f>IF(AND('Mapa final'!$AA$17="Muy Baja",'Mapa final'!$AC$17="Moderado"),CONCATENATE("R2C",'Mapa final'!$Q$17),"")</f>
        <v/>
      </c>
      <c r="Y47" s="69" t="str">
        <f>IF(AND('Mapa final'!$AA$18="Muy Baja",'Mapa final'!$AC$18="Moderado"),CONCATENATE("R2C",'Mapa final'!$Q$18),"")</f>
        <v/>
      </c>
      <c r="Z47" s="69" t="str">
        <f>IF(AND('Mapa final'!$AA$19="Muy Baja",'Mapa final'!$AC$19="Moderado"),CONCATENATE("R2C",'Mapa final'!$Q$19),"")</f>
        <v/>
      </c>
      <c r="AA47" s="70" t="str">
        <f>IF(AND('Mapa final'!$AA$20="Muy Baja",'Mapa final'!$AC$20="Moderado"),CONCATENATE("R2C",'Mapa final'!$Q$20),"")</f>
        <v/>
      </c>
      <c r="AB47" s="52" t="str">
        <f>IF(AND('Mapa final'!$AA$15="Muy Baja",'Mapa final'!$AC$15="Mayor"),CONCATENATE("R2C",'Mapa final'!$Q$15),"")</f>
        <v/>
      </c>
      <c r="AC47" s="53" t="str">
        <f>IF(AND('Mapa final'!$AA$16="Muy Baja",'Mapa final'!$AC$16="Mayor"),CONCATENATE("R2C",'Mapa final'!$Q$16),"")</f>
        <v/>
      </c>
      <c r="AD47" s="53" t="str">
        <f>IF(AND('Mapa final'!$AA$17="Muy Baja",'Mapa final'!$AC$17="Mayor"),CONCATENATE("R2C",'Mapa final'!$Q$17),"")</f>
        <v/>
      </c>
      <c r="AE47" s="53" t="str">
        <f>IF(AND('Mapa final'!$AA$18="Muy Baja",'Mapa final'!$AC$18="Mayor"),CONCATENATE("R2C",'Mapa final'!$Q$18),"")</f>
        <v/>
      </c>
      <c r="AF47" s="53" t="str">
        <f>IF(AND('Mapa final'!$AA$19="Muy Baja",'Mapa final'!$AC$19="Mayor"),CONCATENATE("R2C",'Mapa final'!$Q$19),"")</f>
        <v/>
      </c>
      <c r="AG47" s="54" t="str">
        <f>IF(AND('Mapa final'!$AA$20="Muy Baja",'Mapa final'!$AC$20="Mayor"),CONCATENATE("R2C",'Mapa final'!$Q$20),"")</f>
        <v/>
      </c>
      <c r="AH47" s="55" t="str">
        <f>IF(AND('Mapa final'!$AA$15="Muy Baja",'Mapa final'!$AC$15="Catastrófico"),CONCATENATE("R2C",'Mapa final'!$Q$15),"")</f>
        <v/>
      </c>
      <c r="AI47" s="56" t="str">
        <f>IF(AND('Mapa final'!$AA$16="Muy Baja",'Mapa final'!$AC$16="Catastrófico"),CONCATENATE("R2C",'Mapa final'!$Q$16),"")</f>
        <v/>
      </c>
      <c r="AJ47" s="56" t="str">
        <f>IF(AND('Mapa final'!$AA$17="Muy Baja",'Mapa final'!$AC$17="Catastrófico"),CONCATENATE("R2C",'Mapa final'!$Q$17),"")</f>
        <v/>
      </c>
      <c r="AK47" s="56" t="str">
        <f>IF(AND('Mapa final'!$AA$18="Muy Baja",'Mapa final'!$AC$18="Catastrófico"),CONCATENATE("R2C",'Mapa final'!$Q$18),"")</f>
        <v/>
      </c>
      <c r="AL47" s="56" t="str">
        <f>IF(AND('Mapa final'!$AA$19="Muy Baja",'Mapa final'!$AC$19="Catastrófico"),CONCATENATE("R2C",'Mapa final'!$Q$19),"")</f>
        <v/>
      </c>
      <c r="AM47" s="57" t="str">
        <f>IF(AND('Mapa final'!$AA$20="Muy Baja",'Mapa final'!$AC$20="Catastrófico"),CONCATENATE("R2C",'Mapa final'!$Q$20),"")</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2"/>
      <c r="C48" s="282"/>
      <c r="D48" s="283"/>
      <c r="E48" s="381"/>
      <c r="F48" s="382"/>
      <c r="G48" s="382"/>
      <c r="H48" s="382"/>
      <c r="I48" s="399"/>
      <c r="J48" s="77" t="str">
        <f>IF(AND('Mapa final'!$AA$21="Muy Baja",'Mapa final'!$AC$21="Leve"),CONCATENATE("R3C",'Mapa final'!$Q$21),"")</f>
        <v/>
      </c>
      <c r="K48" s="78" t="str">
        <f>IF(AND('Mapa final'!$AA$22="Muy Baja",'Mapa final'!$AC$22="Leve"),CONCATENATE("R3C",'Mapa final'!$Q$22),"")</f>
        <v/>
      </c>
      <c r="L48" s="78" t="str">
        <f>IF(AND('Mapa final'!$AA$23="Muy Baja",'Mapa final'!$AC$23="Leve"),CONCATENATE("R3C",'Mapa final'!$Q$23),"")</f>
        <v/>
      </c>
      <c r="M48" s="78" t="str">
        <f>IF(AND('Mapa final'!$AA$24="Muy Baja",'Mapa final'!$AC$24="Leve"),CONCATENATE("R3C",'Mapa final'!$Q$24),"")</f>
        <v/>
      </c>
      <c r="N48" s="78" t="str">
        <f>IF(AND('Mapa final'!$AA$25="Muy Baja",'Mapa final'!$AC$25="Leve"),CONCATENATE("R3C",'Mapa final'!$Q$25),"")</f>
        <v/>
      </c>
      <c r="O48" s="79" t="str">
        <f>IF(AND('Mapa final'!$AA$26="Muy Baja",'Mapa final'!$AC$26="Leve"),CONCATENATE("R3C",'Mapa final'!$Q$26),"")</f>
        <v/>
      </c>
      <c r="P48" s="77" t="str">
        <f>IF(AND('Mapa final'!$AA$21="Muy Baja",'Mapa final'!$AC$21="Menor"),CONCATENATE("R3C",'Mapa final'!$Q$21),"")</f>
        <v/>
      </c>
      <c r="Q48" s="78" t="str">
        <f>IF(AND('Mapa final'!$AA$22="Muy Baja",'Mapa final'!$AC$22="Menor"),CONCATENATE("R3C",'Mapa final'!$Q$22),"")</f>
        <v/>
      </c>
      <c r="R48" s="78" t="str">
        <f>IF(AND('Mapa final'!$AA$23="Muy Baja",'Mapa final'!$AC$23="Menor"),CONCATENATE("R3C",'Mapa final'!$Q$23),"")</f>
        <v/>
      </c>
      <c r="S48" s="78" t="str">
        <f>IF(AND('Mapa final'!$AA$24="Muy Baja",'Mapa final'!$AC$24="Menor"),CONCATENATE("R3C",'Mapa final'!$Q$24),"")</f>
        <v/>
      </c>
      <c r="T48" s="78" t="str">
        <f>IF(AND('Mapa final'!$AA$25="Muy Baja",'Mapa final'!$AC$25="Menor"),CONCATENATE("R3C",'Mapa final'!$Q$25),"")</f>
        <v/>
      </c>
      <c r="U48" s="79" t="str">
        <f>IF(AND('Mapa final'!$AA$26="Muy Baja",'Mapa final'!$AC$26="Menor"),CONCATENATE("R3C",'Mapa final'!$Q$26),"")</f>
        <v/>
      </c>
      <c r="V48" s="68" t="str">
        <f>IF(AND('Mapa final'!$AA$21="Muy Baja",'Mapa final'!$AC$21="Moderado"),CONCATENATE("R3C",'Mapa final'!$Q$21),"")</f>
        <v/>
      </c>
      <c r="W48" s="69" t="str">
        <f>IF(AND('Mapa final'!$AA$22="Muy Baja",'Mapa final'!$AC$22="Moderado"),CONCATENATE("R3C",'Mapa final'!$Q$22),"")</f>
        <v/>
      </c>
      <c r="X48" s="69" t="str">
        <f>IF(AND('Mapa final'!$AA$23="Muy Baja",'Mapa final'!$AC$23="Moderado"),CONCATENATE("R3C",'Mapa final'!$Q$23),"")</f>
        <v/>
      </c>
      <c r="Y48" s="69" t="str">
        <f>IF(AND('Mapa final'!$AA$24="Muy Baja",'Mapa final'!$AC$24="Moderado"),CONCATENATE("R3C",'Mapa final'!$Q$24),"")</f>
        <v/>
      </c>
      <c r="Z48" s="69" t="str">
        <f>IF(AND('Mapa final'!$AA$25="Muy Baja",'Mapa final'!$AC$25="Moderado"),CONCATENATE("R3C",'Mapa final'!$Q$25),"")</f>
        <v/>
      </c>
      <c r="AA48" s="70" t="str">
        <f>IF(AND('Mapa final'!$AA$26="Muy Baja",'Mapa final'!$AC$26="Moderado"),CONCATENATE("R3C",'Mapa final'!$Q$26),"")</f>
        <v/>
      </c>
      <c r="AB48" s="52" t="str">
        <f>IF(AND('Mapa final'!$AA$21="Muy Baja",'Mapa final'!$AC$21="Mayor"),CONCATENATE("R3C",'Mapa final'!$Q$21),"")</f>
        <v/>
      </c>
      <c r="AC48" s="53" t="str">
        <f>IF(AND('Mapa final'!$AA$22="Muy Baja",'Mapa final'!$AC$22="Mayor"),CONCATENATE("R3C",'Mapa final'!$Q$22),"")</f>
        <v/>
      </c>
      <c r="AD48" s="53" t="str">
        <f>IF(AND('Mapa final'!$AA$23="Muy Baja",'Mapa final'!$AC$23="Mayor"),CONCATENATE("R3C",'Mapa final'!$Q$23),"")</f>
        <v/>
      </c>
      <c r="AE48" s="53" t="str">
        <f>IF(AND('Mapa final'!$AA$24="Muy Baja",'Mapa final'!$AC$24="Mayor"),CONCATENATE("R3C",'Mapa final'!$Q$24),"")</f>
        <v/>
      </c>
      <c r="AF48" s="53" t="str">
        <f>IF(AND('Mapa final'!$AA$25="Muy Baja",'Mapa final'!$AC$25="Mayor"),CONCATENATE("R3C",'Mapa final'!$Q$25),"")</f>
        <v/>
      </c>
      <c r="AG48" s="54" t="str">
        <f>IF(AND('Mapa final'!$AA$26="Muy Baja",'Mapa final'!$AC$26="Mayor"),CONCATENATE("R3C",'Mapa final'!$Q$26),"")</f>
        <v/>
      </c>
      <c r="AH48" s="55" t="str">
        <f>IF(AND('Mapa final'!$AA$21="Muy Baja",'Mapa final'!$AC$21="Catastrófico"),CONCATENATE("R3C",'Mapa final'!$Q$21),"")</f>
        <v/>
      </c>
      <c r="AI48" s="56" t="str">
        <f>IF(AND('Mapa final'!$AA$22="Muy Baja",'Mapa final'!$AC$22="Catastrófico"),CONCATENATE("R3C",'Mapa final'!$Q$22),"")</f>
        <v/>
      </c>
      <c r="AJ48" s="56" t="str">
        <f>IF(AND('Mapa final'!$AA$23="Muy Baja",'Mapa final'!$AC$23="Catastrófico"),CONCATENATE("R3C",'Mapa final'!$Q$23),"")</f>
        <v/>
      </c>
      <c r="AK48" s="56" t="str">
        <f>IF(AND('Mapa final'!$AA$24="Muy Baja",'Mapa final'!$AC$24="Catastrófico"),CONCATENATE("R3C",'Mapa final'!$Q$24),"")</f>
        <v/>
      </c>
      <c r="AL48" s="56" t="str">
        <f>IF(AND('Mapa final'!$AA$25="Muy Baja",'Mapa final'!$AC$25="Catastrófico"),CONCATENATE("R3C",'Mapa final'!$Q$25),"")</f>
        <v/>
      </c>
      <c r="AM48" s="57" t="str">
        <f>IF(AND('Mapa final'!$AA$26="Muy Baja",'Mapa final'!$AC$26="Catastrófico"),CONCATENATE("R3C",'Mapa final'!$Q$26),"")</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2"/>
      <c r="C49" s="282"/>
      <c r="D49" s="283"/>
      <c r="E49" s="383"/>
      <c r="F49" s="384"/>
      <c r="G49" s="384"/>
      <c r="H49" s="384"/>
      <c r="I49" s="399"/>
      <c r="J49" s="77" t="str">
        <f>IF(AND('Mapa final'!$AA$27="Muy Baja",'Mapa final'!$AC$27="Leve"),CONCATENATE("R4C",'Mapa final'!$Q$27),"")</f>
        <v/>
      </c>
      <c r="K49" s="78" t="str">
        <f>IF(AND('Mapa final'!$AA$28="Muy Baja",'Mapa final'!$AC$28="Leve"),CONCATENATE("R4C",'Mapa final'!$Q$28),"")</f>
        <v/>
      </c>
      <c r="L49" s="78" t="str">
        <f>IF(AND('Mapa final'!$AA$29="Muy Baja",'Mapa final'!$AC$29="Leve"),CONCATENATE("R4C",'Mapa final'!$Q$29),"")</f>
        <v/>
      </c>
      <c r="M49" s="78" t="str">
        <f>IF(AND('Mapa final'!$AA$30="Muy Baja",'Mapa final'!$AC$30="Leve"),CONCATENATE("R4C",'Mapa final'!$Q$30),"")</f>
        <v/>
      </c>
      <c r="N49" s="78" t="str">
        <f>IF(AND('Mapa final'!$AA$31="Muy Baja",'Mapa final'!$AC$31="Leve"),CONCATENATE("R4C",'Mapa final'!$Q$31),"")</f>
        <v/>
      </c>
      <c r="O49" s="79" t="str">
        <f>IF(AND('Mapa final'!$AA$32="Muy Baja",'Mapa final'!$AC$32="Leve"),CONCATENATE("R4C",'Mapa final'!$Q$32),"")</f>
        <v/>
      </c>
      <c r="P49" s="77" t="str">
        <f>IF(AND('Mapa final'!$AA$27="Muy Baja",'Mapa final'!$AC$27="Menor"),CONCATENATE("R4C",'Mapa final'!$Q$27),"")</f>
        <v/>
      </c>
      <c r="Q49" s="78" t="str">
        <f>IF(AND('Mapa final'!$AA$28="Muy Baja",'Mapa final'!$AC$28="Menor"),CONCATENATE("R4C",'Mapa final'!$Q$28),"")</f>
        <v/>
      </c>
      <c r="R49" s="78" t="str">
        <f>IF(AND('Mapa final'!$AA$29="Muy Baja",'Mapa final'!$AC$29="Menor"),CONCATENATE("R4C",'Mapa final'!$Q$29),"")</f>
        <v/>
      </c>
      <c r="S49" s="78" t="str">
        <f>IF(AND('Mapa final'!$AA$30="Muy Baja",'Mapa final'!$AC$30="Menor"),CONCATENATE("R4C",'Mapa final'!$Q$30),"")</f>
        <v/>
      </c>
      <c r="T49" s="78" t="str">
        <f>IF(AND('Mapa final'!$AA$31="Muy Baja",'Mapa final'!$AC$31="Menor"),CONCATENATE("R4C",'Mapa final'!$Q$31),"")</f>
        <v/>
      </c>
      <c r="U49" s="79" t="str">
        <f>IF(AND('Mapa final'!$AA$32="Muy Baja",'Mapa final'!$AC$32="Menor"),CONCATENATE("R4C",'Mapa final'!$Q$32),"")</f>
        <v/>
      </c>
      <c r="V49" s="68" t="str">
        <f>IF(AND('Mapa final'!$AA$27="Muy Baja",'Mapa final'!$AC$27="Moderado"),CONCATENATE("R4C",'Mapa final'!$Q$27),"")</f>
        <v/>
      </c>
      <c r="W49" s="69" t="str">
        <f>IF(AND('Mapa final'!$AA$28="Muy Baja",'Mapa final'!$AC$28="Moderado"),CONCATENATE("R4C",'Mapa final'!$Q$28),"")</f>
        <v/>
      </c>
      <c r="X49" s="69" t="str">
        <f>IF(AND('Mapa final'!$AA$29="Muy Baja",'Mapa final'!$AC$29="Moderado"),CONCATENATE("R4C",'Mapa final'!$Q$29),"")</f>
        <v/>
      </c>
      <c r="Y49" s="69" t="str">
        <f>IF(AND('Mapa final'!$AA$30="Muy Baja",'Mapa final'!$AC$30="Moderado"),CONCATENATE("R4C",'Mapa final'!$Q$30),"")</f>
        <v/>
      </c>
      <c r="Z49" s="69" t="str">
        <f>IF(AND('Mapa final'!$AA$31="Muy Baja",'Mapa final'!$AC$31="Moderado"),CONCATENATE("R4C",'Mapa final'!$Q$31),"")</f>
        <v/>
      </c>
      <c r="AA49" s="70" t="str">
        <f>IF(AND('Mapa final'!$AA$32="Muy Baja",'Mapa final'!$AC$32="Moderado"),CONCATENATE("R4C",'Mapa final'!$Q$32),"")</f>
        <v/>
      </c>
      <c r="AB49" s="52" t="str">
        <f>IF(AND('Mapa final'!$AA$27="Muy Baja",'Mapa final'!$AC$27="Mayor"),CONCATENATE("R4C",'Mapa final'!$Q$27),"")</f>
        <v/>
      </c>
      <c r="AC49" s="53" t="str">
        <f>IF(AND('Mapa final'!$AA$28="Muy Baja",'Mapa final'!$AC$28="Mayor"),CONCATENATE("R4C",'Mapa final'!$Q$28),"")</f>
        <v/>
      </c>
      <c r="AD49" s="53" t="str">
        <f>IF(AND('Mapa final'!$AA$29="Muy Baja",'Mapa final'!$AC$29="Mayor"),CONCATENATE("R4C",'Mapa final'!$Q$29),"")</f>
        <v/>
      </c>
      <c r="AE49" s="53" t="str">
        <f>IF(AND('Mapa final'!$AA$30="Muy Baja",'Mapa final'!$AC$30="Mayor"),CONCATENATE("R4C",'Mapa final'!$Q$30),"")</f>
        <v/>
      </c>
      <c r="AF49" s="53" t="str">
        <f>IF(AND('Mapa final'!$AA$31="Muy Baja",'Mapa final'!$AC$31="Mayor"),CONCATENATE("R4C",'Mapa final'!$Q$31),"")</f>
        <v/>
      </c>
      <c r="AG49" s="54" t="str">
        <f>IF(AND('Mapa final'!$AA$32="Muy Baja",'Mapa final'!$AC$32="Mayor"),CONCATENATE("R4C",'Mapa final'!$Q$32),"")</f>
        <v/>
      </c>
      <c r="AH49" s="55" t="str">
        <f>IF(AND('Mapa final'!$AA$27="Muy Baja",'Mapa final'!$AC$27="Catastrófico"),CONCATENATE("R4C",'Mapa final'!$Q$27),"")</f>
        <v/>
      </c>
      <c r="AI49" s="56" t="str">
        <f>IF(AND('Mapa final'!$AA$28="Muy Baja",'Mapa final'!$AC$28="Catastrófico"),CONCATENATE("R4C",'Mapa final'!$Q$28),"")</f>
        <v/>
      </c>
      <c r="AJ49" s="56" t="str">
        <f>IF(AND('Mapa final'!$AA$29="Muy Baja",'Mapa final'!$AC$29="Catastrófico"),CONCATENATE("R4C",'Mapa final'!$Q$29),"")</f>
        <v/>
      </c>
      <c r="AK49" s="56" t="str">
        <f>IF(AND('Mapa final'!$AA$30="Muy Baja",'Mapa final'!$AC$30="Catastrófico"),CONCATENATE("R4C",'Mapa final'!$Q$30),"")</f>
        <v/>
      </c>
      <c r="AL49" s="56" t="str">
        <f>IF(AND('Mapa final'!$AA$31="Muy Baja",'Mapa final'!$AC$31="Catastrófico"),CONCATENATE("R4C",'Mapa final'!$Q$31),"")</f>
        <v/>
      </c>
      <c r="AM49" s="57" t="str">
        <f>IF(AND('Mapa final'!$AA$32="Muy Baja",'Mapa final'!$AC$32="Catastrófico"),CONCATENATE("R4C",'Mapa final'!$Q$32),"")</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2"/>
      <c r="C50" s="282"/>
      <c r="D50" s="283"/>
      <c r="E50" s="383"/>
      <c r="F50" s="384"/>
      <c r="G50" s="384"/>
      <c r="H50" s="384"/>
      <c r="I50" s="399"/>
      <c r="J50" s="77" t="str">
        <f>IF(AND('Mapa final'!$AA$33="Muy Baja",'Mapa final'!$AC$33="Leve"),CONCATENATE("R5C",'Mapa final'!$Q$33),"")</f>
        <v/>
      </c>
      <c r="K50" s="78" t="str">
        <f>IF(AND('Mapa final'!$AA$34="Muy Baja",'Mapa final'!$AC$34="Leve"),CONCATENATE("R5C",'Mapa final'!$Q$34),"")</f>
        <v/>
      </c>
      <c r="L50" s="78" t="str">
        <f>IF(AND('Mapa final'!$AA$35="Muy Baja",'Mapa final'!$AC$35="Leve"),CONCATENATE("R5C",'Mapa final'!$Q$35),"")</f>
        <v/>
      </c>
      <c r="M50" s="78" t="str">
        <f>IF(AND('Mapa final'!$AA$36="Muy Baja",'Mapa final'!$AC$36="Leve"),CONCATENATE("R5C",'Mapa final'!$Q$36),"")</f>
        <v/>
      </c>
      <c r="N50" s="78" t="str">
        <f>IF(AND('Mapa final'!$AA$37="Muy Baja",'Mapa final'!$AC$37="Leve"),CONCATENATE("R5C",'Mapa final'!$Q$37),"")</f>
        <v/>
      </c>
      <c r="O50" s="79" t="str">
        <f>IF(AND('Mapa final'!$AA$38="Muy Baja",'Mapa final'!$AC$38="Leve"),CONCATENATE("R5C",'Mapa final'!$Q$38),"")</f>
        <v/>
      </c>
      <c r="P50" s="77" t="str">
        <f>IF(AND('Mapa final'!$AA$33="Muy Baja",'Mapa final'!$AC$33="Menor"),CONCATENATE("R5C",'Mapa final'!$Q$33),"")</f>
        <v/>
      </c>
      <c r="Q50" s="78" t="str">
        <f>IF(AND('Mapa final'!$AA$34="Muy Baja",'Mapa final'!$AC$34="Menor"),CONCATENATE("R5C",'Mapa final'!$Q$34),"")</f>
        <v/>
      </c>
      <c r="R50" s="78" t="str">
        <f>IF(AND('Mapa final'!$AA$35="Muy Baja",'Mapa final'!$AC$35="Menor"),CONCATENATE("R5C",'Mapa final'!$Q$35),"")</f>
        <v/>
      </c>
      <c r="S50" s="78" t="str">
        <f>IF(AND('Mapa final'!$AA$36="Muy Baja",'Mapa final'!$AC$36="Menor"),CONCATENATE("R5C",'Mapa final'!$Q$36),"")</f>
        <v/>
      </c>
      <c r="T50" s="78" t="str">
        <f>IF(AND('Mapa final'!$AA$37="Muy Baja",'Mapa final'!$AC$37="Menor"),CONCATENATE("R5C",'Mapa final'!$Q$37),"")</f>
        <v/>
      </c>
      <c r="U50" s="79" t="str">
        <f>IF(AND('Mapa final'!$AA$38="Muy Baja",'Mapa final'!$AC$38="Menor"),CONCATENATE("R5C",'Mapa final'!$Q$38),"")</f>
        <v/>
      </c>
      <c r="V50" s="68" t="str">
        <f>IF(AND('Mapa final'!$AA$33="Muy Baja",'Mapa final'!$AC$33="Moderado"),CONCATENATE("R5C",'Mapa final'!$Q$33),"")</f>
        <v/>
      </c>
      <c r="W50" s="69" t="str">
        <f>IF(AND('Mapa final'!$AA$34="Muy Baja",'Mapa final'!$AC$34="Moderado"),CONCATENATE("R5C",'Mapa final'!$Q$34),"")</f>
        <v/>
      </c>
      <c r="X50" s="69" t="str">
        <f>IF(AND('Mapa final'!$AA$35="Muy Baja",'Mapa final'!$AC$35="Moderado"),CONCATENATE("R5C",'Mapa final'!$Q$35),"")</f>
        <v/>
      </c>
      <c r="Y50" s="69" t="str">
        <f>IF(AND('Mapa final'!$AA$36="Muy Baja",'Mapa final'!$AC$36="Moderado"),CONCATENATE("R5C",'Mapa final'!$Q$36),"")</f>
        <v/>
      </c>
      <c r="Z50" s="69" t="str">
        <f>IF(AND('Mapa final'!$AA$37="Muy Baja",'Mapa final'!$AC$37="Moderado"),CONCATENATE("R5C",'Mapa final'!$Q$37),"")</f>
        <v/>
      </c>
      <c r="AA50" s="70" t="str">
        <f>IF(AND('Mapa final'!$AA$38="Muy Baja",'Mapa final'!$AC$38="Moderado"),CONCATENATE("R5C",'Mapa final'!$Q$38),"")</f>
        <v/>
      </c>
      <c r="AB50" s="52" t="str">
        <f>IF(AND('Mapa final'!$AA$33="Muy Baja",'Mapa final'!$AC$33="Mayor"),CONCATENATE("R5C",'Mapa final'!$Q$33),"")</f>
        <v/>
      </c>
      <c r="AC50" s="53" t="str">
        <f>IF(AND('Mapa final'!$AA$34="Muy Baja",'Mapa final'!$AC$34="Mayor"),CONCATENATE("R5C",'Mapa final'!$Q$34),"")</f>
        <v/>
      </c>
      <c r="AD50" s="58" t="str">
        <f>IF(AND('Mapa final'!$AA$35="Muy Baja",'Mapa final'!$AC$35="Mayor"),CONCATENATE("R5C",'Mapa final'!$Q$35),"")</f>
        <v/>
      </c>
      <c r="AE50" s="58" t="str">
        <f>IF(AND('Mapa final'!$AA$36="Muy Baja",'Mapa final'!$AC$36="Mayor"),CONCATENATE("R5C",'Mapa final'!$Q$36),"")</f>
        <v/>
      </c>
      <c r="AF50" s="58" t="str">
        <f>IF(AND('Mapa final'!$AA$37="Muy Baja",'Mapa final'!$AC$37="Mayor"),CONCATENATE("R5C",'Mapa final'!$Q$37),"")</f>
        <v/>
      </c>
      <c r="AG50" s="54" t="str">
        <f>IF(AND('Mapa final'!$AA$38="Muy Baja",'Mapa final'!$AC$38="Mayor"),CONCATENATE("R5C",'Mapa final'!$Q$38),"")</f>
        <v/>
      </c>
      <c r="AH50" s="55" t="str">
        <f>IF(AND('Mapa final'!$AA$33="Muy Baja",'Mapa final'!$AC$33="Catastrófico"),CONCATENATE("R5C",'Mapa final'!$Q$33),"")</f>
        <v/>
      </c>
      <c r="AI50" s="56" t="str">
        <f>IF(AND('Mapa final'!$AA$34="Muy Baja",'Mapa final'!$AC$34="Catastrófico"),CONCATENATE("R5C",'Mapa final'!$Q$34),"")</f>
        <v/>
      </c>
      <c r="AJ50" s="56" t="str">
        <f>IF(AND('Mapa final'!$AA$35="Muy Baja",'Mapa final'!$AC$35="Catastrófico"),CONCATENATE("R5C",'Mapa final'!$Q$35),"")</f>
        <v/>
      </c>
      <c r="AK50" s="56" t="str">
        <f>IF(AND('Mapa final'!$AA$36="Muy Baja",'Mapa final'!$AC$36="Catastrófico"),CONCATENATE("R5C",'Mapa final'!$Q$36),"")</f>
        <v/>
      </c>
      <c r="AL50" s="56" t="str">
        <f>IF(AND('Mapa final'!$AA$37="Muy Baja",'Mapa final'!$AC$37="Catastrófico"),CONCATENATE("R5C",'Mapa final'!$Q$37),"")</f>
        <v/>
      </c>
      <c r="AM50" s="57" t="str">
        <f>IF(AND('Mapa final'!$AA$38="Muy Baja",'Mapa final'!$AC$38="Catastrófico"),CONCATENATE("R5C",'Mapa final'!$Q$38),"")</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2"/>
      <c r="C51" s="282"/>
      <c r="D51" s="283"/>
      <c r="E51" s="383"/>
      <c r="F51" s="384"/>
      <c r="G51" s="384"/>
      <c r="H51" s="384"/>
      <c r="I51" s="399"/>
      <c r="J51" s="77" t="str">
        <f>IF(AND('Mapa final'!$AA$39="Muy Baja",'Mapa final'!$AC$39="Leve"),CONCATENATE("R6C",'Mapa final'!$Q$39),"")</f>
        <v/>
      </c>
      <c r="K51" s="78" t="str">
        <f>IF(AND('Mapa final'!$AA$40="Muy Baja",'Mapa final'!$AC$40="Leve"),CONCATENATE("R6C",'Mapa final'!$Q$40),"")</f>
        <v/>
      </c>
      <c r="L51" s="78" t="str">
        <f>IF(AND('Mapa final'!$AA$41="Muy Baja",'Mapa final'!$AC$41="Leve"),CONCATENATE("R6C",'Mapa final'!$Q$41),"")</f>
        <v/>
      </c>
      <c r="M51" s="78" t="str">
        <f>IF(AND('Mapa final'!$AA$42="Muy Baja",'Mapa final'!$AC$42="Leve"),CONCATENATE("R6C",'Mapa final'!$Q$42),"")</f>
        <v/>
      </c>
      <c r="N51" s="78" t="str">
        <f>IF(AND('Mapa final'!$AA$43="Muy Baja",'Mapa final'!$AC$43="Leve"),CONCATENATE("R6C",'Mapa final'!$Q$43),"")</f>
        <v/>
      </c>
      <c r="O51" s="79" t="str">
        <f>IF(AND('Mapa final'!$AA$44="Muy Baja",'Mapa final'!$AC$44="Leve"),CONCATENATE("R6C",'Mapa final'!$Q$44),"")</f>
        <v/>
      </c>
      <c r="P51" s="77" t="str">
        <f>IF(AND('Mapa final'!$AA$39="Muy Baja",'Mapa final'!$AC$39="Menor"),CONCATENATE("R6C",'Mapa final'!$Q$39),"")</f>
        <v/>
      </c>
      <c r="Q51" s="78" t="str">
        <f>IF(AND('Mapa final'!$AA$40="Muy Baja",'Mapa final'!$AC$40="Menor"),CONCATENATE("R6C",'Mapa final'!$Q$40),"")</f>
        <v/>
      </c>
      <c r="R51" s="78" t="str">
        <f>IF(AND('Mapa final'!$AA$41="Muy Baja",'Mapa final'!$AC$41="Menor"),CONCATENATE("R6C",'Mapa final'!$Q$41),"")</f>
        <v/>
      </c>
      <c r="S51" s="78" t="str">
        <f>IF(AND('Mapa final'!$AA$42="Muy Baja",'Mapa final'!$AC$42="Menor"),CONCATENATE("R6C",'Mapa final'!$Q$42),"")</f>
        <v/>
      </c>
      <c r="T51" s="78" t="str">
        <f>IF(AND('Mapa final'!$AA$43="Muy Baja",'Mapa final'!$AC$43="Menor"),CONCATENATE("R6C",'Mapa final'!$Q$43),"")</f>
        <v/>
      </c>
      <c r="U51" s="79" t="str">
        <f>IF(AND('Mapa final'!$AA$44="Muy Baja",'Mapa final'!$AC$44="Menor"),CONCATENATE("R6C",'Mapa final'!$Q$44),"")</f>
        <v/>
      </c>
      <c r="V51" s="68" t="str">
        <f>IF(AND('Mapa final'!$AA$39="Muy Baja",'Mapa final'!$AC$39="Moderado"),CONCATENATE("R6C",'Mapa final'!$Q$39),"")</f>
        <v/>
      </c>
      <c r="W51" s="69" t="str">
        <f>IF(AND('Mapa final'!$AA$40="Muy Baja",'Mapa final'!$AC$40="Moderado"),CONCATENATE("R6C",'Mapa final'!$Q$40),"")</f>
        <v/>
      </c>
      <c r="X51" s="69" t="str">
        <f>IF(AND('Mapa final'!$AA$41="Muy Baja",'Mapa final'!$AC$41="Moderado"),CONCATENATE("R6C",'Mapa final'!$Q$41),"")</f>
        <v/>
      </c>
      <c r="Y51" s="69" t="str">
        <f>IF(AND('Mapa final'!$AA$42="Muy Baja",'Mapa final'!$AC$42="Moderado"),CONCATENATE("R6C",'Mapa final'!$Q$42),"")</f>
        <v/>
      </c>
      <c r="Z51" s="69" t="str">
        <f>IF(AND('Mapa final'!$AA$43="Muy Baja",'Mapa final'!$AC$43="Moderado"),CONCATENATE("R6C",'Mapa final'!$Q$43),"")</f>
        <v/>
      </c>
      <c r="AA51" s="70" t="str">
        <f>IF(AND('Mapa final'!$AA$44="Muy Baja",'Mapa final'!$AC$44="Moderado"),CONCATENATE("R6C",'Mapa final'!$Q$44),"")</f>
        <v/>
      </c>
      <c r="AB51" s="52" t="str">
        <f>IF(AND('Mapa final'!$AA$39="Muy Baja",'Mapa final'!$AC$39="Mayor"),CONCATENATE("R6C",'Mapa final'!$Q$39),"")</f>
        <v/>
      </c>
      <c r="AC51" s="53" t="str">
        <f>IF(AND('Mapa final'!$AA$40="Muy Baja",'Mapa final'!$AC$40="Mayor"),CONCATENATE("R6C",'Mapa final'!$Q$40),"")</f>
        <v/>
      </c>
      <c r="AD51" s="58" t="str">
        <f>IF(AND('Mapa final'!$AA$41="Muy Baja",'Mapa final'!$AC$41="Mayor"),CONCATENATE("R6C",'Mapa final'!$Q$41),"")</f>
        <v/>
      </c>
      <c r="AE51" s="58" t="str">
        <f>IF(AND('Mapa final'!$AA$42="Muy Baja",'Mapa final'!$AC$42="Mayor"),CONCATENATE("R6C",'Mapa final'!$Q$42),"")</f>
        <v/>
      </c>
      <c r="AF51" s="58" t="str">
        <f>IF(AND('Mapa final'!$AA$43="Muy Baja",'Mapa final'!$AC$43="Mayor"),CONCATENATE("R6C",'Mapa final'!$Q$43),"")</f>
        <v/>
      </c>
      <c r="AG51" s="54" t="str">
        <f>IF(AND('Mapa final'!$AA$44="Muy Baja",'Mapa final'!$AC$44="Mayor"),CONCATENATE("R6C",'Mapa final'!$Q$44),"")</f>
        <v/>
      </c>
      <c r="AH51" s="55" t="str">
        <f>IF(AND('Mapa final'!$AA$39="Muy Baja",'Mapa final'!$AC$39="Catastrófico"),CONCATENATE("R6C",'Mapa final'!$Q$39),"")</f>
        <v/>
      </c>
      <c r="AI51" s="56" t="str">
        <f>IF(AND('Mapa final'!$AA$40="Muy Baja",'Mapa final'!$AC$40="Catastrófico"),CONCATENATE("R6C",'Mapa final'!$Q$40),"")</f>
        <v/>
      </c>
      <c r="AJ51" s="56" t="str">
        <f>IF(AND('Mapa final'!$AA$41="Muy Baja",'Mapa final'!$AC$41="Catastrófico"),CONCATENATE("R6C",'Mapa final'!$Q$41),"")</f>
        <v/>
      </c>
      <c r="AK51" s="56" t="str">
        <f>IF(AND('Mapa final'!$AA$42="Muy Baja",'Mapa final'!$AC$42="Catastrófico"),CONCATENATE("R6C",'Mapa final'!$Q$42),"")</f>
        <v/>
      </c>
      <c r="AL51" s="56" t="str">
        <f>IF(AND('Mapa final'!$AA$43="Muy Baja",'Mapa final'!$AC$43="Catastrófico"),CONCATENATE("R6C",'Mapa final'!$Q$43),"")</f>
        <v/>
      </c>
      <c r="AM51" s="57" t="str">
        <f>IF(AND('Mapa final'!$AA$44="Muy Baja",'Mapa final'!$AC$44="Catastrófico"),CONCATENATE("R6C",'Mapa final'!$Q$44),"")</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2"/>
      <c r="C52" s="282"/>
      <c r="D52" s="283"/>
      <c r="E52" s="383"/>
      <c r="F52" s="384"/>
      <c r="G52" s="384"/>
      <c r="H52" s="384"/>
      <c r="I52" s="399"/>
      <c r="J52" s="77" t="str">
        <f>IF(AND('Mapa final'!$AA$45="Muy Baja",'Mapa final'!$AC$45="Leve"),CONCATENATE("R7C",'Mapa final'!$Q$45),"")</f>
        <v/>
      </c>
      <c r="K52" s="78" t="str">
        <f>IF(AND('Mapa final'!$AA$46="Muy Baja",'Mapa final'!$AC$46="Leve"),CONCATENATE("R7C",'Mapa final'!$Q$46),"")</f>
        <v/>
      </c>
      <c r="L52" s="78" t="str">
        <f>IF(AND('Mapa final'!$AA$47="Muy Baja",'Mapa final'!$AC$47="Leve"),CONCATENATE("R7C",'Mapa final'!$Q$47),"")</f>
        <v/>
      </c>
      <c r="M52" s="78" t="str">
        <f>IF(AND('Mapa final'!$AA$48="Muy Baja",'Mapa final'!$AC$48="Leve"),CONCATENATE("R7C",'Mapa final'!$Q$48),"")</f>
        <v/>
      </c>
      <c r="N52" s="78" t="str">
        <f>IF(AND('Mapa final'!$AA$49="Muy Baja",'Mapa final'!$AC$49="Leve"),CONCATENATE("R7C",'Mapa final'!$Q$49),"")</f>
        <v/>
      </c>
      <c r="O52" s="79" t="str">
        <f>IF(AND('Mapa final'!$AA$50="Muy Baja",'Mapa final'!$AC$50="Leve"),CONCATENATE("R7C",'Mapa final'!$Q$50),"")</f>
        <v/>
      </c>
      <c r="P52" s="77" t="str">
        <f>IF(AND('Mapa final'!$AA$45="Muy Baja",'Mapa final'!$AC$45="Menor"),CONCATENATE("R7C",'Mapa final'!$Q$45),"")</f>
        <v/>
      </c>
      <c r="Q52" s="78" t="str">
        <f>IF(AND('Mapa final'!$AA$46="Muy Baja",'Mapa final'!$AC$46="Menor"),CONCATENATE("R7C",'Mapa final'!$Q$46),"")</f>
        <v/>
      </c>
      <c r="R52" s="78" t="str">
        <f>IF(AND('Mapa final'!$AA$47="Muy Baja",'Mapa final'!$AC$47="Menor"),CONCATENATE("R7C",'Mapa final'!$Q$47),"")</f>
        <v/>
      </c>
      <c r="S52" s="78" t="str">
        <f>IF(AND('Mapa final'!$AA$48="Muy Baja",'Mapa final'!$AC$48="Menor"),CONCATENATE("R7C",'Mapa final'!$Q$48),"")</f>
        <v/>
      </c>
      <c r="T52" s="78" t="str">
        <f>IF(AND('Mapa final'!$AA$49="Muy Baja",'Mapa final'!$AC$49="Menor"),CONCATENATE("R7C",'Mapa final'!$Q$49),"")</f>
        <v/>
      </c>
      <c r="U52" s="79" t="str">
        <f>IF(AND('Mapa final'!$AA$50="Muy Baja",'Mapa final'!$AC$50="Menor"),CONCATENATE("R7C",'Mapa final'!$Q$50),"")</f>
        <v/>
      </c>
      <c r="V52" s="68" t="str">
        <f>IF(AND('Mapa final'!$AA$45="Muy Baja",'Mapa final'!$AC$45="Moderado"),CONCATENATE("R7C",'Mapa final'!$Q$45),"")</f>
        <v/>
      </c>
      <c r="W52" s="69" t="str">
        <f>IF(AND('Mapa final'!$AA$46="Muy Baja",'Mapa final'!$AC$46="Moderado"),CONCATENATE("R7C",'Mapa final'!$Q$46),"")</f>
        <v/>
      </c>
      <c r="X52" s="69" t="str">
        <f>IF(AND('Mapa final'!$AA$47="Muy Baja",'Mapa final'!$AC$47="Moderado"),CONCATENATE("R7C",'Mapa final'!$Q$47),"")</f>
        <v/>
      </c>
      <c r="Y52" s="69" t="str">
        <f>IF(AND('Mapa final'!$AA$48="Muy Baja",'Mapa final'!$AC$48="Moderado"),CONCATENATE("R7C",'Mapa final'!$Q$48),"")</f>
        <v/>
      </c>
      <c r="Z52" s="69" t="str">
        <f>IF(AND('Mapa final'!$AA$49="Muy Baja",'Mapa final'!$AC$49="Moderado"),CONCATENATE("R7C",'Mapa final'!$Q$49),"")</f>
        <v/>
      </c>
      <c r="AA52" s="70" t="str">
        <f>IF(AND('Mapa final'!$AA$50="Muy Baja",'Mapa final'!$AC$50="Moderado"),CONCATENATE("R7C",'Mapa final'!$Q$50),"")</f>
        <v/>
      </c>
      <c r="AB52" s="52" t="str">
        <f>IF(AND('Mapa final'!$AA$45="Muy Baja",'Mapa final'!$AC$45="Mayor"),CONCATENATE("R7C",'Mapa final'!$Q$45),"")</f>
        <v/>
      </c>
      <c r="AC52" s="53" t="str">
        <f>IF(AND('Mapa final'!$AA$46="Muy Baja",'Mapa final'!$AC$46="Mayor"),CONCATENATE("R7C",'Mapa final'!$Q$46),"")</f>
        <v/>
      </c>
      <c r="AD52" s="58" t="str">
        <f>IF(AND('Mapa final'!$AA$47="Muy Baja",'Mapa final'!$AC$47="Mayor"),CONCATENATE("R7C",'Mapa final'!$Q$47),"")</f>
        <v/>
      </c>
      <c r="AE52" s="58" t="str">
        <f>IF(AND('Mapa final'!$AA$48="Muy Baja",'Mapa final'!$AC$48="Mayor"),CONCATENATE("R7C",'Mapa final'!$Q$48),"")</f>
        <v/>
      </c>
      <c r="AF52" s="58" t="str">
        <f>IF(AND('Mapa final'!$AA$49="Muy Baja",'Mapa final'!$AC$49="Mayor"),CONCATENATE("R7C",'Mapa final'!$Q$49),"")</f>
        <v/>
      </c>
      <c r="AG52" s="54" t="str">
        <f>IF(AND('Mapa final'!$AA$50="Muy Baja",'Mapa final'!$AC$50="Mayor"),CONCATENATE("R7C",'Mapa final'!$Q$50),"")</f>
        <v/>
      </c>
      <c r="AH52" s="55" t="str">
        <f>IF(AND('Mapa final'!$AA$45="Muy Baja",'Mapa final'!$AC$45="Catastrófico"),CONCATENATE("R7C",'Mapa final'!$Q$45),"")</f>
        <v/>
      </c>
      <c r="AI52" s="56" t="str">
        <f>IF(AND('Mapa final'!$AA$46="Muy Baja",'Mapa final'!$AC$46="Catastrófico"),CONCATENATE("R7C",'Mapa final'!$Q$46),"")</f>
        <v/>
      </c>
      <c r="AJ52" s="56" t="str">
        <f>IF(AND('Mapa final'!$AA$47="Muy Baja",'Mapa final'!$AC$47="Catastrófico"),CONCATENATE("R7C",'Mapa final'!$Q$47),"")</f>
        <v/>
      </c>
      <c r="AK52" s="56" t="str">
        <f>IF(AND('Mapa final'!$AA$48="Muy Baja",'Mapa final'!$AC$48="Catastrófico"),CONCATENATE("R7C",'Mapa final'!$Q$48),"")</f>
        <v/>
      </c>
      <c r="AL52" s="56" t="str">
        <f>IF(AND('Mapa final'!$AA$49="Muy Baja",'Mapa final'!$AC$49="Catastrófico"),CONCATENATE("R7C",'Mapa final'!$Q$49),"")</f>
        <v/>
      </c>
      <c r="AM52" s="57" t="str">
        <f>IF(AND('Mapa final'!$AA$50="Muy Baja",'Mapa final'!$AC$50="Catastrófico"),CONCATENATE("R7C",'Mapa final'!$Q$50),"")</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2"/>
      <c r="C53" s="282"/>
      <c r="D53" s="283"/>
      <c r="E53" s="383"/>
      <c r="F53" s="384"/>
      <c r="G53" s="384"/>
      <c r="H53" s="384"/>
      <c r="I53" s="399"/>
      <c r="J53" s="77" t="str">
        <f>IF(AND('Mapa final'!$AA$51="Muy Baja",'Mapa final'!$AC$51="Leve"),CONCATENATE("R8C",'Mapa final'!$Q$51),"")</f>
        <v/>
      </c>
      <c r="K53" s="78" t="str">
        <f>IF(AND('Mapa final'!$AA$52="Muy Baja",'Mapa final'!$AC$52="Leve"),CONCATENATE("R8C",'Mapa final'!$Q$52),"")</f>
        <v/>
      </c>
      <c r="L53" s="78" t="str">
        <f>IF(AND('Mapa final'!$AA$53="Muy Baja",'Mapa final'!$AC$53="Leve"),CONCATENATE("R8C",'Mapa final'!$Q$53),"")</f>
        <v/>
      </c>
      <c r="M53" s="78" t="str">
        <f>IF(AND('Mapa final'!$AA$54="Muy Baja",'Mapa final'!$AC$54="Leve"),CONCATENATE("R8C",'Mapa final'!$Q$54),"")</f>
        <v/>
      </c>
      <c r="N53" s="78" t="str">
        <f>IF(AND('Mapa final'!$AA$55="Muy Baja",'Mapa final'!$AC$55="Leve"),CONCATENATE("R8C",'Mapa final'!$Q$55),"")</f>
        <v/>
      </c>
      <c r="O53" s="79" t="str">
        <f>IF(AND('Mapa final'!$AA$56="Muy Baja",'Mapa final'!$AC$56="Leve"),CONCATENATE("R8C",'Mapa final'!$Q$56),"")</f>
        <v/>
      </c>
      <c r="P53" s="77" t="str">
        <f>IF(AND('Mapa final'!$AA$51="Muy Baja",'Mapa final'!$AC$51="Menor"),CONCATENATE("R8C",'Mapa final'!$Q$51),"")</f>
        <v/>
      </c>
      <c r="Q53" s="78" t="str">
        <f>IF(AND('Mapa final'!$AA$52="Muy Baja",'Mapa final'!$AC$52="Menor"),CONCATENATE("R8C",'Mapa final'!$Q$52),"")</f>
        <v/>
      </c>
      <c r="R53" s="78" t="str">
        <f>IF(AND('Mapa final'!$AA$53="Muy Baja",'Mapa final'!$AC$53="Menor"),CONCATENATE("R8C",'Mapa final'!$Q$53),"")</f>
        <v/>
      </c>
      <c r="S53" s="78" t="str">
        <f>IF(AND('Mapa final'!$AA$54="Muy Baja",'Mapa final'!$AC$54="Menor"),CONCATENATE("R8C",'Mapa final'!$Q$54),"")</f>
        <v/>
      </c>
      <c r="T53" s="78" t="str">
        <f>IF(AND('Mapa final'!$AA$55="Muy Baja",'Mapa final'!$AC$55="Menor"),CONCATENATE("R8C",'Mapa final'!$Q$55),"")</f>
        <v/>
      </c>
      <c r="U53" s="79" t="str">
        <f>IF(AND('Mapa final'!$AA$56="Muy Baja",'Mapa final'!$AC$56="Menor"),CONCATENATE("R8C",'Mapa final'!$Q$56),"")</f>
        <v/>
      </c>
      <c r="V53" s="68" t="str">
        <f>IF(AND('Mapa final'!$AA$51="Muy Baja",'Mapa final'!$AC$51="Moderado"),CONCATENATE("R8C",'Mapa final'!$Q$51),"")</f>
        <v/>
      </c>
      <c r="W53" s="69" t="str">
        <f>IF(AND('Mapa final'!$AA$52="Muy Baja",'Mapa final'!$AC$52="Moderado"),CONCATENATE("R8C",'Mapa final'!$Q$52),"")</f>
        <v/>
      </c>
      <c r="X53" s="69" t="str">
        <f>IF(AND('Mapa final'!$AA$53="Muy Baja",'Mapa final'!$AC$53="Moderado"),CONCATENATE("R8C",'Mapa final'!$Q$53),"")</f>
        <v/>
      </c>
      <c r="Y53" s="69" t="str">
        <f>IF(AND('Mapa final'!$AA$54="Muy Baja",'Mapa final'!$AC$54="Moderado"),CONCATENATE("R8C",'Mapa final'!$Q$54),"")</f>
        <v/>
      </c>
      <c r="Z53" s="69" t="str">
        <f>IF(AND('Mapa final'!$AA$55="Muy Baja",'Mapa final'!$AC$55="Moderado"),CONCATENATE("R8C",'Mapa final'!$Q$55),"")</f>
        <v/>
      </c>
      <c r="AA53" s="70" t="str">
        <f>IF(AND('Mapa final'!$AA$56="Muy Baja",'Mapa final'!$AC$56="Moderado"),CONCATENATE("R8C",'Mapa final'!$Q$56),"")</f>
        <v/>
      </c>
      <c r="AB53" s="52" t="str">
        <f>IF(AND('Mapa final'!$AA$51="Muy Baja",'Mapa final'!$AC$51="Mayor"),CONCATENATE("R8C",'Mapa final'!$Q$51),"")</f>
        <v/>
      </c>
      <c r="AC53" s="53" t="str">
        <f>IF(AND('Mapa final'!$AA$52="Muy Baja",'Mapa final'!$AC$52="Mayor"),CONCATENATE("R8C",'Mapa final'!$Q$52),"")</f>
        <v/>
      </c>
      <c r="AD53" s="58" t="str">
        <f>IF(AND('Mapa final'!$AA$53="Muy Baja",'Mapa final'!$AC$53="Mayor"),CONCATENATE("R8C",'Mapa final'!$Q$53),"")</f>
        <v/>
      </c>
      <c r="AE53" s="58" t="str">
        <f>IF(AND('Mapa final'!$AA$54="Muy Baja",'Mapa final'!$AC$54="Mayor"),CONCATENATE("R8C",'Mapa final'!$Q$54),"")</f>
        <v/>
      </c>
      <c r="AF53" s="58" t="str">
        <f>IF(AND('Mapa final'!$AA$55="Muy Baja",'Mapa final'!$AC$55="Mayor"),CONCATENATE("R8C",'Mapa final'!$Q$55),"")</f>
        <v/>
      </c>
      <c r="AG53" s="54" t="str">
        <f>IF(AND('Mapa final'!$AA$56="Muy Baja",'Mapa final'!$AC$56="Mayor"),CONCATENATE("R8C",'Mapa final'!$Q$56),"")</f>
        <v/>
      </c>
      <c r="AH53" s="55" t="str">
        <f>IF(AND('Mapa final'!$AA$51="Muy Baja",'Mapa final'!$AC$51="Catastrófico"),CONCATENATE("R8C",'Mapa final'!$Q$51),"")</f>
        <v/>
      </c>
      <c r="AI53" s="56" t="str">
        <f>IF(AND('Mapa final'!$AA$52="Muy Baja",'Mapa final'!$AC$52="Catastrófico"),CONCATENATE("R8C",'Mapa final'!$Q$52),"")</f>
        <v/>
      </c>
      <c r="AJ53" s="56" t="str">
        <f>IF(AND('Mapa final'!$AA$53="Muy Baja",'Mapa final'!$AC$53="Catastrófico"),CONCATENATE("R8C",'Mapa final'!$Q$53),"")</f>
        <v/>
      </c>
      <c r="AK53" s="56" t="str">
        <f>IF(AND('Mapa final'!$AA$54="Muy Baja",'Mapa final'!$AC$54="Catastrófico"),CONCATENATE("R8C",'Mapa final'!$Q$54),"")</f>
        <v/>
      </c>
      <c r="AL53" s="56" t="str">
        <f>IF(AND('Mapa final'!$AA$55="Muy Baja",'Mapa final'!$AC$55="Catastrófico"),CONCATENATE("R8C",'Mapa final'!$Q$55),"")</f>
        <v/>
      </c>
      <c r="AM53" s="57" t="str">
        <f>IF(AND('Mapa final'!$AA$56="Muy Baja",'Mapa final'!$AC$56="Catastrófico"),CONCATENATE("R8C",'Mapa final'!$Q$56),"")</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2"/>
      <c r="C54" s="282"/>
      <c r="D54" s="283"/>
      <c r="E54" s="383"/>
      <c r="F54" s="384"/>
      <c r="G54" s="384"/>
      <c r="H54" s="384"/>
      <c r="I54" s="399"/>
      <c r="J54" s="77" t="str">
        <f>IF(AND('Mapa final'!$AA$57="Muy Baja",'Mapa final'!$AC$57="Leve"),CONCATENATE("R9C",'Mapa final'!$Q$57),"")</f>
        <v/>
      </c>
      <c r="K54" s="78" t="str">
        <f>IF(AND('Mapa final'!$AA$58="Muy Baja",'Mapa final'!$AC$58="Leve"),CONCATENATE("R9C",'Mapa final'!$Q$58),"")</f>
        <v/>
      </c>
      <c r="L54" s="78" t="str">
        <f>IF(AND('Mapa final'!$AA$59="Muy Baja",'Mapa final'!$AC$59="Leve"),CONCATENATE("R9C",'Mapa final'!$Q$59),"")</f>
        <v/>
      </c>
      <c r="M54" s="78" t="str">
        <f>IF(AND('Mapa final'!$AA$60="Muy Baja",'Mapa final'!$AC$60="Leve"),CONCATENATE("R9C",'Mapa final'!$Q$60),"")</f>
        <v/>
      </c>
      <c r="N54" s="78" t="str">
        <f>IF(AND('Mapa final'!$AA$61="Muy Baja",'Mapa final'!$AC$61="Leve"),CONCATENATE("R9C",'Mapa final'!$Q$61),"")</f>
        <v/>
      </c>
      <c r="O54" s="79" t="str">
        <f>IF(AND('Mapa final'!$AA$62="Muy Baja",'Mapa final'!$AC$62="Leve"),CONCATENATE("R9C",'Mapa final'!$Q$62),"")</f>
        <v/>
      </c>
      <c r="P54" s="77" t="str">
        <f>IF(AND('Mapa final'!$AA$57="Muy Baja",'Mapa final'!$AC$57="Menor"),CONCATENATE("R9C",'Mapa final'!$Q$57),"")</f>
        <v/>
      </c>
      <c r="Q54" s="78" t="str">
        <f>IF(AND('Mapa final'!$AA$58="Muy Baja",'Mapa final'!$AC$58="Menor"),CONCATENATE("R9C",'Mapa final'!$Q$58),"")</f>
        <v/>
      </c>
      <c r="R54" s="78" t="str">
        <f>IF(AND('Mapa final'!$AA$59="Muy Baja",'Mapa final'!$AC$59="Menor"),CONCATENATE("R9C",'Mapa final'!$Q$59),"")</f>
        <v/>
      </c>
      <c r="S54" s="78" t="str">
        <f>IF(AND('Mapa final'!$AA$60="Muy Baja",'Mapa final'!$AC$60="Menor"),CONCATENATE("R9C",'Mapa final'!$Q$60),"")</f>
        <v/>
      </c>
      <c r="T54" s="78" t="str">
        <f>IF(AND('Mapa final'!$AA$61="Muy Baja",'Mapa final'!$AC$61="Menor"),CONCATENATE("R9C",'Mapa final'!$Q$61),"")</f>
        <v/>
      </c>
      <c r="U54" s="79" t="str">
        <f>IF(AND('Mapa final'!$AA$62="Muy Baja",'Mapa final'!$AC$62="Menor"),CONCATENATE("R9C",'Mapa final'!$Q$62),"")</f>
        <v/>
      </c>
      <c r="V54" s="68" t="str">
        <f>IF(AND('Mapa final'!$AA$57="Muy Baja",'Mapa final'!$AC$57="Moderado"),CONCATENATE("R9C",'Mapa final'!$Q$57),"")</f>
        <v/>
      </c>
      <c r="W54" s="69" t="str">
        <f>IF(AND('Mapa final'!$AA$58="Muy Baja",'Mapa final'!$AC$58="Moderado"),CONCATENATE("R9C",'Mapa final'!$Q$58),"")</f>
        <v/>
      </c>
      <c r="X54" s="69" t="str">
        <f>IF(AND('Mapa final'!$AA$59="Muy Baja",'Mapa final'!$AC$59="Moderado"),CONCATENATE("R9C",'Mapa final'!$Q$59),"")</f>
        <v/>
      </c>
      <c r="Y54" s="69" t="str">
        <f>IF(AND('Mapa final'!$AA$60="Muy Baja",'Mapa final'!$AC$60="Moderado"),CONCATENATE("R9C",'Mapa final'!$Q$60),"")</f>
        <v/>
      </c>
      <c r="Z54" s="69" t="str">
        <f>IF(AND('Mapa final'!$AA$61="Muy Baja",'Mapa final'!$AC$61="Moderado"),CONCATENATE("R9C",'Mapa final'!$Q$61),"")</f>
        <v/>
      </c>
      <c r="AA54" s="70" t="str">
        <f>IF(AND('Mapa final'!$AA$62="Muy Baja",'Mapa final'!$AC$62="Moderado"),CONCATENATE("R9C",'Mapa final'!$Q$62),"")</f>
        <v/>
      </c>
      <c r="AB54" s="52" t="str">
        <f>IF(AND('Mapa final'!$AA$57="Muy Baja",'Mapa final'!$AC$57="Mayor"),CONCATENATE("R9C",'Mapa final'!$Q$57),"")</f>
        <v/>
      </c>
      <c r="AC54" s="53" t="str">
        <f>IF(AND('Mapa final'!$AA$58="Muy Baja",'Mapa final'!$AC$58="Mayor"),CONCATENATE("R9C",'Mapa final'!$Q$58),"")</f>
        <v/>
      </c>
      <c r="AD54" s="58" t="str">
        <f>IF(AND('Mapa final'!$AA$59="Muy Baja",'Mapa final'!$AC$59="Mayor"),CONCATENATE("R9C",'Mapa final'!$Q$59),"")</f>
        <v/>
      </c>
      <c r="AE54" s="58" t="str">
        <f>IF(AND('Mapa final'!$AA$60="Muy Baja",'Mapa final'!$AC$60="Mayor"),CONCATENATE("R9C",'Mapa final'!$Q$60),"")</f>
        <v/>
      </c>
      <c r="AF54" s="58" t="str">
        <f>IF(AND('Mapa final'!$AA$61="Muy Baja",'Mapa final'!$AC$61="Mayor"),CONCATENATE("R9C",'Mapa final'!$Q$61),"")</f>
        <v/>
      </c>
      <c r="AG54" s="54" t="str">
        <f>IF(AND('Mapa final'!$AA$62="Muy Baja",'Mapa final'!$AC$62="Mayor"),CONCATENATE("R9C",'Mapa final'!$Q$62),"")</f>
        <v/>
      </c>
      <c r="AH54" s="55" t="str">
        <f>IF(AND('Mapa final'!$AA$57="Muy Baja",'Mapa final'!$AC$57="Catastrófico"),CONCATENATE("R9C",'Mapa final'!$Q$57),"")</f>
        <v/>
      </c>
      <c r="AI54" s="56" t="str">
        <f>IF(AND('Mapa final'!$AA$58="Muy Baja",'Mapa final'!$AC$58="Catastrófico"),CONCATENATE("R9C",'Mapa final'!$Q$58),"")</f>
        <v/>
      </c>
      <c r="AJ54" s="56" t="str">
        <f>IF(AND('Mapa final'!$AA$59="Muy Baja",'Mapa final'!$AC$59="Catastrófico"),CONCATENATE("R9C",'Mapa final'!$Q$59),"")</f>
        <v/>
      </c>
      <c r="AK54" s="56" t="str">
        <f>IF(AND('Mapa final'!$AA$60="Muy Baja",'Mapa final'!$AC$60="Catastrófico"),CONCATENATE("R9C",'Mapa final'!$Q$60),"")</f>
        <v/>
      </c>
      <c r="AL54" s="56" t="str">
        <f>IF(AND('Mapa final'!$AA$61="Muy Baja",'Mapa final'!$AC$61="Catastrófico"),CONCATENATE("R9C",'Mapa final'!$Q$61),"")</f>
        <v/>
      </c>
      <c r="AM54" s="57" t="str">
        <f>IF(AND('Mapa final'!$AA$62="Muy Baja",'Mapa final'!$AC$62="Catastrófico"),CONCATENATE("R9C",'Mapa final'!$Q$62),"")</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2"/>
      <c r="C55" s="282"/>
      <c r="D55" s="283"/>
      <c r="E55" s="385"/>
      <c r="F55" s="386"/>
      <c r="G55" s="386"/>
      <c r="H55" s="386"/>
      <c r="I55" s="400"/>
      <c r="J55" s="80" t="str">
        <f>IF(AND('Mapa final'!$AA$63="Muy Baja",'Mapa final'!$AC$63="Leve"),CONCATENATE("R10C",'Mapa final'!$Q$63),"")</f>
        <v/>
      </c>
      <c r="K55" s="81" t="str">
        <f>IF(AND('Mapa final'!$AA$64="Muy Baja",'Mapa final'!$AC$64="Leve"),CONCATENATE("R10C",'Mapa final'!$Q$64),"")</f>
        <v/>
      </c>
      <c r="L55" s="81" t="str">
        <f>IF(AND('Mapa final'!$AA$65="Muy Baja",'Mapa final'!$AC$65="Leve"),CONCATENATE("R10C",'Mapa final'!$Q$65),"")</f>
        <v/>
      </c>
      <c r="M55" s="81" t="str">
        <f>IF(AND('Mapa final'!$AA$66="Muy Baja",'Mapa final'!$AC$66="Leve"),CONCATENATE("R10C",'Mapa final'!$Q$66),"")</f>
        <v/>
      </c>
      <c r="N55" s="81" t="str">
        <f>IF(AND('Mapa final'!$AA$67="Muy Baja",'Mapa final'!$AC$67="Leve"),CONCATENATE("R10C",'Mapa final'!$Q$67),"")</f>
        <v/>
      </c>
      <c r="O55" s="82" t="str">
        <f>IF(AND('Mapa final'!$AA$68="Muy Baja",'Mapa final'!$AC$68="Leve"),CONCATENATE("R10C",'Mapa final'!$Q$68),"")</f>
        <v/>
      </c>
      <c r="P55" s="80" t="str">
        <f>IF(AND('Mapa final'!$AA$63="Muy Baja",'Mapa final'!$AC$63="Menor"),CONCATENATE("R10C",'Mapa final'!$Q$63),"")</f>
        <v/>
      </c>
      <c r="Q55" s="81" t="str">
        <f>IF(AND('Mapa final'!$AA$64="Muy Baja",'Mapa final'!$AC$64="Menor"),CONCATENATE("R10C",'Mapa final'!$Q$64),"")</f>
        <v/>
      </c>
      <c r="R55" s="81" t="str">
        <f>IF(AND('Mapa final'!$AA$65="Muy Baja",'Mapa final'!$AC$65="Menor"),CONCATENATE("R10C",'Mapa final'!$Q$65),"")</f>
        <v/>
      </c>
      <c r="S55" s="81" t="str">
        <f>IF(AND('Mapa final'!$AA$66="Muy Baja",'Mapa final'!$AC$66="Menor"),CONCATENATE("R10C",'Mapa final'!$Q$66),"")</f>
        <v/>
      </c>
      <c r="T55" s="81" t="str">
        <f>IF(AND('Mapa final'!$AA$67="Muy Baja",'Mapa final'!$AC$67="Menor"),CONCATENATE("R10C",'Mapa final'!$Q$67),"")</f>
        <v/>
      </c>
      <c r="U55" s="82" t="str">
        <f>IF(AND('Mapa final'!$AA$68="Muy Baja",'Mapa final'!$AC$68="Menor"),CONCATENATE("R10C",'Mapa final'!$Q$68),"")</f>
        <v/>
      </c>
      <c r="V55" s="71" t="str">
        <f>IF(AND('Mapa final'!$AA$63="Muy Baja",'Mapa final'!$AC$63="Moderado"),CONCATENATE("R10C",'Mapa final'!$Q$63),"")</f>
        <v/>
      </c>
      <c r="W55" s="72" t="str">
        <f>IF(AND('Mapa final'!$AA$64="Muy Baja",'Mapa final'!$AC$64="Moderado"),CONCATENATE("R10C",'Mapa final'!$Q$64),"")</f>
        <v/>
      </c>
      <c r="X55" s="72" t="str">
        <f>IF(AND('Mapa final'!$AA$65="Muy Baja",'Mapa final'!$AC$65="Moderado"),CONCATENATE("R10C",'Mapa final'!$Q$65),"")</f>
        <v/>
      </c>
      <c r="Y55" s="72" t="str">
        <f>IF(AND('Mapa final'!$AA$66="Muy Baja",'Mapa final'!$AC$66="Moderado"),CONCATENATE("R10C",'Mapa final'!$Q$66),"")</f>
        <v/>
      </c>
      <c r="Z55" s="72" t="str">
        <f>IF(AND('Mapa final'!$AA$67="Muy Baja",'Mapa final'!$AC$67="Moderado"),CONCATENATE("R10C",'Mapa final'!$Q$67),"")</f>
        <v/>
      </c>
      <c r="AA55" s="73" t="str">
        <f>IF(AND('Mapa final'!$AA$68="Muy Baja",'Mapa final'!$AC$68="Moderado"),CONCATENATE("R10C",'Mapa final'!$Q$68),"")</f>
        <v/>
      </c>
      <c r="AB55" s="59" t="str">
        <f>IF(AND('Mapa final'!$AA$63="Muy Baja",'Mapa final'!$AC$63="Mayor"),CONCATENATE("R10C",'Mapa final'!$Q$63),"")</f>
        <v/>
      </c>
      <c r="AC55" s="60" t="str">
        <f>IF(AND('Mapa final'!$AA$64="Muy Baja",'Mapa final'!$AC$64="Mayor"),CONCATENATE("R10C",'Mapa final'!$Q$64),"")</f>
        <v/>
      </c>
      <c r="AD55" s="60" t="str">
        <f>IF(AND('Mapa final'!$AA$65="Muy Baja",'Mapa final'!$AC$65="Mayor"),CONCATENATE("R10C",'Mapa final'!$Q$65),"")</f>
        <v/>
      </c>
      <c r="AE55" s="60" t="str">
        <f>IF(AND('Mapa final'!$AA$66="Muy Baja",'Mapa final'!$AC$66="Mayor"),CONCATENATE("R10C",'Mapa final'!$Q$66),"")</f>
        <v/>
      </c>
      <c r="AF55" s="60" t="str">
        <f>IF(AND('Mapa final'!$AA$67="Muy Baja",'Mapa final'!$AC$67="Mayor"),CONCATENATE("R10C",'Mapa final'!$Q$67),"")</f>
        <v/>
      </c>
      <c r="AG55" s="61" t="str">
        <f>IF(AND('Mapa final'!$AA$68="Muy Baja",'Mapa final'!$AC$68="Mayor"),CONCATENATE("R10C",'Mapa final'!$Q$68),"")</f>
        <v/>
      </c>
      <c r="AH55" s="62" t="str">
        <f>IF(AND('Mapa final'!$AA$63="Muy Baja",'Mapa final'!$AC$63="Catastrófico"),CONCATENATE("R10C",'Mapa final'!$Q$63),"")</f>
        <v/>
      </c>
      <c r="AI55" s="63" t="str">
        <f>IF(AND('Mapa final'!$AA$64="Muy Baja",'Mapa final'!$AC$64="Catastrófico"),CONCATENATE("R10C",'Mapa final'!$Q$64),"")</f>
        <v/>
      </c>
      <c r="AJ55" s="63" t="str">
        <f>IF(AND('Mapa final'!$AA$65="Muy Baja",'Mapa final'!$AC$65="Catastrófico"),CONCATENATE("R10C",'Mapa final'!$Q$65),"")</f>
        <v/>
      </c>
      <c r="AK55" s="63" t="str">
        <f>IF(AND('Mapa final'!$AA$66="Muy Baja",'Mapa final'!$AC$66="Catastrófico"),CONCATENATE("R10C",'Mapa final'!$Q$66),"")</f>
        <v/>
      </c>
      <c r="AL55" s="63" t="str">
        <f>IF(AND('Mapa final'!$AA$67="Muy Baja",'Mapa final'!$AC$67="Catastrófico"),CONCATENATE("R10C",'Mapa final'!$Q$67),"")</f>
        <v/>
      </c>
      <c r="AM55" s="64" t="str">
        <f>IF(AND('Mapa final'!$AA$68="Muy Baja",'Mapa final'!$AC$68="Catastrófico"),CONCATENATE("R10C",'Mapa final'!$Q$68),"")</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79" t="s">
        <v>104</v>
      </c>
      <c r="K56" s="380"/>
      <c r="L56" s="380"/>
      <c r="M56" s="380"/>
      <c r="N56" s="380"/>
      <c r="O56" s="398"/>
      <c r="P56" s="379" t="s">
        <v>103</v>
      </c>
      <c r="Q56" s="380"/>
      <c r="R56" s="380"/>
      <c r="S56" s="380"/>
      <c r="T56" s="380"/>
      <c r="U56" s="398"/>
      <c r="V56" s="379" t="s">
        <v>102</v>
      </c>
      <c r="W56" s="380"/>
      <c r="X56" s="380"/>
      <c r="Y56" s="380"/>
      <c r="Z56" s="380"/>
      <c r="AA56" s="398"/>
      <c r="AB56" s="379" t="s">
        <v>101</v>
      </c>
      <c r="AC56" s="419"/>
      <c r="AD56" s="380"/>
      <c r="AE56" s="380"/>
      <c r="AF56" s="380"/>
      <c r="AG56" s="398"/>
      <c r="AH56" s="379" t="s">
        <v>100</v>
      </c>
      <c r="AI56" s="380"/>
      <c r="AJ56" s="380"/>
      <c r="AK56" s="380"/>
      <c r="AL56" s="380"/>
      <c r="AM56" s="39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83"/>
      <c r="K57" s="384"/>
      <c r="L57" s="384"/>
      <c r="M57" s="384"/>
      <c r="N57" s="384"/>
      <c r="O57" s="399"/>
      <c r="P57" s="383"/>
      <c r="Q57" s="384"/>
      <c r="R57" s="384"/>
      <c r="S57" s="384"/>
      <c r="T57" s="384"/>
      <c r="U57" s="399"/>
      <c r="V57" s="383"/>
      <c r="W57" s="384"/>
      <c r="X57" s="384"/>
      <c r="Y57" s="384"/>
      <c r="Z57" s="384"/>
      <c r="AA57" s="399"/>
      <c r="AB57" s="383"/>
      <c r="AC57" s="384"/>
      <c r="AD57" s="384"/>
      <c r="AE57" s="384"/>
      <c r="AF57" s="384"/>
      <c r="AG57" s="399"/>
      <c r="AH57" s="383"/>
      <c r="AI57" s="384"/>
      <c r="AJ57" s="384"/>
      <c r="AK57" s="384"/>
      <c r="AL57" s="384"/>
      <c r="AM57" s="399"/>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83"/>
      <c r="K58" s="384"/>
      <c r="L58" s="384"/>
      <c r="M58" s="384"/>
      <c r="N58" s="384"/>
      <c r="O58" s="399"/>
      <c r="P58" s="383"/>
      <c r="Q58" s="384"/>
      <c r="R58" s="384"/>
      <c r="S58" s="384"/>
      <c r="T58" s="384"/>
      <c r="U58" s="399"/>
      <c r="V58" s="383"/>
      <c r="W58" s="384"/>
      <c r="X58" s="384"/>
      <c r="Y58" s="384"/>
      <c r="Z58" s="384"/>
      <c r="AA58" s="399"/>
      <c r="AB58" s="383"/>
      <c r="AC58" s="384"/>
      <c r="AD58" s="384"/>
      <c r="AE58" s="384"/>
      <c r="AF58" s="384"/>
      <c r="AG58" s="399"/>
      <c r="AH58" s="383"/>
      <c r="AI58" s="384"/>
      <c r="AJ58" s="384"/>
      <c r="AK58" s="384"/>
      <c r="AL58" s="384"/>
      <c r="AM58" s="399"/>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83"/>
      <c r="K59" s="384"/>
      <c r="L59" s="384"/>
      <c r="M59" s="384"/>
      <c r="N59" s="384"/>
      <c r="O59" s="399"/>
      <c r="P59" s="383"/>
      <c r="Q59" s="384"/>
      <c r="R59" s="384"/>
      <c r="S59" s="384"/>
      <c r="T59" s="384"/>
      <c r="U59" s="399"/>
      <c r="V59" s="383"/>
      <c r="W59" s="384"/>
      <c r="X59" s="384"/>
      <c r="Y59" s="384"/>
      <c r="Z59" s="384"/>
      <c r="AA59" s="399"/>
      <c r="AB59" s="383"/>
      <c r="AC59" s="384"/>
      <c r="AD59" s="384"/>
      <c r="AE59" s="384"/>
      <c r="AF59" s="384"/>
      <c r="AG59" s="399"/>
      <c r="AH59" s="383"/>
      <c r="AI59" s="384"/>
      <c r="AJ59" s="384"/>
      <c r="AK59" s="384"/>
      <c r="AL59" s="384"/>
      <c r="AM59" s="399"/>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83"/>
      <c r="K60" s="384"/>
      <c r="L60" s="384"/>
      <c r="M60" s="384"/>
      <c r="N60" s="384"/>
      <c r="O60" s="399"/>
      <c r="P60" s="383"/>
      <c r="Q60" s="384"/>
      <c r="R60" s="384"/>
      <c r="S60" s="384"/>
      <c r="T60" s="384"/>
      <c r="U60" s="399"/>
      <c r="V60" s="383"/>
      <c r="W60" s="384"/>
      <c r="X60" s="384"/>
      <c r="Y60" s="384"/>
      <c r="Z60" s="384"/>
      <c r="AA60" s="399"/>
      <c r="AB60" s="383"/>
      <c r="AC60" s="384"/>
      <c r="AD60" s="384"/>
      <c r="AE60" s="384"/>
      <c r="AF60" s="384"/>
      <c r="AG60" s="399"/>
      <c r="AH60" s="383"/>
      <c r="AI60" s="384"/>
      <c r="AJ60" s="384"/>
      <c r="AK60" s="384"/>
      <c r="AL60" s="384"/>
      <c r="AM60" s="399"/>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85"/>
      <c r="K61" s="386"/>
      <c r="L61" s="386"/>
      <c r="M61" s="386"/>
      <c r="N61" s="386"/>
      <c r="O61" s="400"/>
      <c r="P61" s="385"/>
      <c r="Q61" s="386"/>
      <c r="R61" s="386"/>
      <c r="S61" s="386"/>
      <c r="T61" s="386"/>
      <c r="U61" s="400"/>
      <c r="V61" s="385"/>
      <c r="W61" s="386"/>
      <c r="X61" s="386"/>
      <c r="Y61" s="386"/>
      <c r="Z61" s="386"/>
      <c r="AA61" s="400"/>
      <c r="AB61" s="385"/>
      <c r="AC61" s="386"/>
      <c r="AD61" s="386"/>
      <c r="AE61" s="386"/>
      <c r="AF61" s="386"/>
      <c r="AG61" s="400"/>
      <c r="AH61" s="385"/>
      <c r="AI61" s="386"/>
      <c r="AJ61" s="386"/>
      <c r="AK61" s="386"/>
      <c r="AL61" s="386"/>
      <c r="AM61" s="400"/>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B8" sqref="B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420" t="s">
        <v>53</v>
      </c>
      <c r="C1" s="420"/>
      <c r="D1" s="420"/>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50</v>
      </c>
      <c r="D3" s="12" t="s">
        <v>3</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49</v>
      </c>
      <c r="C4" s="14" t="s">
        <v>206</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51</v>
      </c>
      <c r="C5" s="17" t="s">
        <v>207</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99</v>
      </c>
      <c r="C6" s="17" t="s">
        <v>208</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5</v>
      </c>
      <c r="C7" s="17" t="s">
        <v>209</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52</v>
      </c>
      <c r="C8" s="17" t="s">
        <v>210</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8"/>
  <sheetViews>
    <sheetView zoomScale="60" zoomScaleNormal="60" workbookViewId="0">
      <selection activeCell="A210" sqref="A210"/>
    </sheetView>
  </sheetViews>
  <sheetFormatPr baseColWidth="10" defaultRowHeight="15" x14ac:dyDescent="0.25"/>
  <cols>
    <col min="2" max="2" width="40.42578125" customWidth="1"/>
    <col min="3" max="3" width="74.85546875" customWidth="1"/>
    <col min="4" max="4" width="126.285156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4"/>
      <c r="B1" s="421" t="s">
        <v>61</v>
      </c>
      <c r="C1" s="421"/>
      <c r="D1" s="421"/>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54</v>
      </c>
      <c r="D3" s="36" t="s">
        <v>55</v>
      </c>
      <c r="E3" s="84"/>
      <c r="F3" s="84"/>
      <c r="G3" s="84"/>
      <c r="H3" s="84"/>
      <c r="I3" s="84"/>
      <c r="J3" s="84"/>
      <c r="K3" s="84"/>
      <c r="L3" s="84"/>
      <c r="M3" s="84"/>
      <c r="N3" s="84"/>
      <c r="O3" s="84"/>
      <c r="P3" s="84"/>
      <c r="Q3" s="84"/>
      <c r="R3" s="84"/>
      <c r="S3" s="84"/>
      <c r="T3" s="84"/>
      <c r="U3" s="84"/>
    </row>
    <row r="4" spans="1:21" ht="33.75" x14ac:dyDescent="0.25">
      <c r="A4" s="104" t="s">
        <v>80</v>
      </c>
      <c r="B4" s="39" t="s">
        <v>98</v>
      </c>
      <c r="C4" s="44" t="s">
        <v>141</v>
      </c>
      <c r="D4" s="37" t="s">
        <v>94</v>
      </c>
      <c r="E4" s="84"/>
      <c r="F4" s="84"/>
      <c r="G4" s="84"/>
      <c r="H4" s="84"/>
      <c r="I4" s="84"/>
      <c r="J4" s="84"/>
      <c r="K4" s="84"/>
      <c r="L4" s="84"/>
      <c r="M4" s="84"/>
      <c r="N4" s="84"/>
      <c r="O4" s="84"/>
      <c r="P4" s="84"/>
      <c r="Q4" s="84"/>
      <c r="R4" s="84"/>
      <c r="S4" s="84"/>
      <c r="T4" s="84"/>
      <c r="U4" s="84"/>
    </row>
    <row r="5" spans="1:21" ht="101.25" x14ac:dyDescent="0.25">
      <c r="A5" s="104" t="s">
        <v>81</v>
      </c>
      <c r="B5" s="40" t="s">
        <v>57</v>
      </c>
      <c r="C5" s="45" t="s">
        <v>90</v>
      </c>
      <c r="D5" s="38" t="s">
        <v>95</v>
      </c>
      <c r="E5" s="84"/>
      <c r="F5" s="84"/>
      <c r="G5" s="84"/>
      <c r="H5" s="84"/>
      <c r="I5" s="84"/>
      <c r="J5" s="84"/>
      <c r="K5" s="84"/>
      <c r="L5" s="84"/>
      <c r="M5" s="84"/>
      <c r="N5" s="84"/>
      <c r="O5" s="84"/>
      <c r="P5" s="84"/>
      <c r="Q5" s="84"/>
      <c r="R5" s="84"/>
      <c r="S5" s="84"/>
      <c r="T5" s="84"/>
      <c r="U5" s="84"/>
    </row>
    <row r="6" spans="1:21" ht="67.5" x14ac:dyDescent="0.25">
      <c r="A6" s="104" t="s">
        <v>78</v>
      </c>
      <c r="B6" s="41" t="s">
        <v>58</v>
      </c>
      <c r="C6" s="45" t="s">
        <v>91</v>
      </c>
      <c r="D6" s="38" t="s">
        <v>97</v>
      </c>
      <c r="E6" s="84"/>
      <c r="F6" s="84"/>
      <c r="G6" s="84"/>
      <c r="H6" s="84"/>
      <c r="I6" s="84"/>
      <c r="J6" s="84"/>
      <c r="K6" s="84"/>
      <c r="L6" s="84"/>
      <c r="M6" s="84"/>
      <c r="N6" s="84"/>
      <c r="O6" s="84"/>
      <c r="P6" s="84"/>
      <c r="Q6" s="84"/>
      <c r="R6" s="84"/>
      <c r="S6" s="84"/>
      <c r="T6" s="84"/>
      <c r="U6" s="84"/>
    </row>
    <row r="7" spans="1:21" ht="101.25" x14ac:dyDescent="0.25">
      <c r="A7" s="104" t="s">
        <v>6</v>
      </c>
      <c r="B7" s="42" t="s">
        <v>59</v>
      </c>
      <c r="C7" s="45" t="s">
        <v>92</v>
      </c>
      <c r="D7" s="38" t="s">
        <v>96</v>
      </c>
      <c r="E7" s="84"/>
      <c r="F7" s="84"/>
      <c r="G7" s="84"/>
      <c r="H7" s="84"/>
      <c r="I7" s="84"/>
      <c r="J7" s="84"/>
      <c r="K7" s="84"/>
      <c r="L7" s="84"/>
      <c r="M7" s="84"/>
      <c r="N7" s="84"/>
      <c r="O7" s="84"/>
      <c r="P7" s="84"/>
      <c r="Q7" s="84"/>
      <c r="R7" s="84"/>
      <c r="S7" s="84"/>
      <c r="T7" s="84"/>
      <c r="U7" s="84"/>
    </row>
    <row r="8" spans="1:21" ht="67.5" x14ac:dyDescent="0.25">
      <c r="A8" s="104" t="s">
        <v>82</v>
      </c>
      <c r="B8" s="43" t="s">
        <v>60</v>
      </c>
      <c r="C8" s="45" t="s">
        <v>93</v>
      </c>
      <c r="D8" s="38" t="s">
        <v>110</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88</v>
      </c>
      <c r="C11" s="104" t="s">
        <v>129</v>
      </c>
      <c r="D11" s="104" t="s">
        <v>136</v>
      </c>
      <c r="E11" s="84"/>
      <c r="F11" s="84"/>
      <c r="G11" s="84"/>
      <c r="H11" s="84"/>
      <c r="I11" s="84"/>
      <c r="J11" s="84"/>
      <c r="K11" s="84"/>
      <c r="L11" s="84"/>
      <c r="M11" s="84"/>
      <c r="N11" s="84"/>
      <c r="O11" s="84"/>
      <c r="P11" s="84"/>
      <c r="Q11" s="84"/>
      <c r="R11" s="84"/>
      <c r="S11" s="84"/>
      <c r="T11" s="84"/>
      <c r="U11" s="84"/>
    </row>
    <row r="12" spans="1:21" x14ac:dyDescent="0.25">
      <c r="A12" s="104"/>
      <c r="B12" s="104" t="s">
        <v>86</v>
      </c>
      <c r="C12" s="104" t="s">
        <v>133</v>
      </c>
      <c r="D12" s="104" t="s">
        <v>137</v>
      </c>
      <c r="E12" s="84"/>
      <c r="F12" s="84"/>
      <c r="G12" s="84"/>
      <c r="H12" s="84"/>
      <c r="I12" s="84"/>
      <c r="J12" s="84"/>
      <c r="K12" s="84"/>
      <c r="L12" s="84"/>
      <c r="M12" s="84"/>
      <c r="N12" s="84"/>
      <c r="O12" s="84"/>
      <c r="P12" s="84"/>
      <c r="Q12" s="84"/>
      <c r="R12" s="84"/>
      <c r="S12" s="84"/>
      <c r="T12" s="84"/>
      <c r="U12" s="84"/>
    </row>
    <row r="13" spans="1:21" x14ac:dyDescent="0.25">
      <c r="A13" s="104"/>
      <c r="B13" s="104"/>
      <c r="C13" s="104" t="s">
        <v>132</v>
      </c>
      <c r="D13" s="104" t="s">
        <v>138</v>
      </c>
      <c r="E13" s="84"/>
      <c r="F13" s="84"/>
      <c r="G13" s="84"/>
      <c r="H13" s="84"/>
      <c r="I13" s="84"/>
      <c r="J13" s="84"/>
      <c r="K13" s="84"/>
      <c r="L13" s="84"/>
      <c r="M13" s="84"/>
      <c r="N13" s="84"/>
      <c r="O13" s="84"/>
      <c r="P13" s="84"/>
      <c r="Q13" s="84"/>
      <c r="R13" s="84"/>
      <c r="S13" s="84"/>
      <c r="T13" s="84"/>
      <c r="U13" s="84"/>
    </row>
    <row r="14" spans="1:21" x14ac:dyDescent="0.25">
      <c r="A14" s="104"/>
      <c r="B14" s="104"/>
      <c r="C14" s="104" t="s">
        <v>134</v>
      </c>
      <c r="D14" s="104" t="s">
        <v>139</v>
      </c>
      <c r="E14" s="84"/>
      <c r="F14" s="84"/>
      <c r="G14" s="84"/>
      <c r="H14" s="84"/>
      <c r="I14" s="84"/>
      <c r="J14" s="84"/>
      <c r="K14" s="84"/>
      <c r="L14" s="84"/>
      <c r="M14" s="84"/>
      <c r="N14" s="84"/>
      <c r="O14" s="84"/>
      <c r="P14" s="84"/>
      <c r="Q14" s="84"/>
      <c r="R14" s="84"/>
      <c r="S14" s="84"/>
      <c r="T14" s="84"/>
      <c r="U14" s="84"/>
    </row>
    <row r="15" spans="1:21" x14ac:dyDescent="0.25">
      <c r="A15" s="104"/>
      <c r="B15" s="104"/>
      <c r="C15" s="104" t="s">
        <v>135</v>
      </c>
      <c r="D15" s="104" t="s">
        <v>140</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85</v>
      </c>
      <c r="C209" s="30" t="s">
        <v>128</v>
      </c>
      <c r="D209" s="33" t="s">
        <v>85</v>
      </c>
      <c r="E209" s="33" t="s">
        <v>128</v>
      </c>
    </row>
    <row r="210" spans="1:8" ht="21" x14ac:dyDescent="0.35">
      <c r="A210" s="84"/>
      <c r="B210" s="31" t="s">
        <v>87</v>
      </c>
      <c r="C210" s="31"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 x14ac:dyDescent="0.35">
      <c r="A211" s="84"/>
      <c r="B211" s="31" t="s">
        <v>87</v>
      </c>
      <c r="C211" s="31" t="s">
        <v>90</v>
      </c>
      <c r="E211" t="s">
        <v>56</v>
      </c>
      <c r="F211" t="str">
        <f t="shared" ref="F211:F221" si="0">IF(NOT(ISBLANK(D211)),D211,IF(NOT(ISBLANK(E211)),"     "&amp;E211,FALSE))</f>
        <v xml:space="preserve">     Afectación menor a 10 SMLMV .</v>
      </c>
    </row>
    <row r="212" spans="1:8" ht="21" x14ac:dyDescent="0.35">
      <c r="A212" s="84"/>
      <c r="B212" s="31" t="s">
        <v>87</v>
      </c>
      <c r="C212" s="31" t="s">
        <v>91</v>
      </c>
      <c r="E212" t="s">
        <v>90</v>
      </c>
      <c r="F212" t="str">
        <f t="shared" si="0"/>
        <v xml:space="preserve">     Entre 10 y 50 SMLMV </v>
      </c>
    </row>
    <row r="213" spans="1:8" ht="21" x14ac:dyDescent="0.35">
      <c r="A213" s="84"/>
      <c r="B213" s="31" t="s">
        <v>87</v>
      </c>
      <c r="C213" s="31" t="s">
        <v>92</v>
      </c>
      <c r="E213" t="s">
        <v>91</v>
      </c>
      <c r="F213" t="str">
        <f t="shared" si="0"/>
        <v xml:space="preserve">     Entre 50 y 100 SMLMV </v>
      </c>
    </row>
    <row r="214" spans="1:8" ht="21" x14ac:dyDescent="0.35">
      <c r="A214" s="84"/>
      <c r="B214" s="31" t="s">
        <v>87</v>
      </c>
      <c r="C214" s="31" t="s">
        <v>93</v>
      </c>
      <c r="E214" t="s">
        <v>92</v>
      </c>
      <c r="F214" t="str">
        <f t="shared" si="0"/>
        <v xml:space="preserve">     Entre 100 y 500 SMLMV </v>
      </c>
    </row>
    <row r="215" spans="1:8" ht="21" x14ac:dyDescent="0.35">
      <c r="A215" s="84"/>
      <c r="B215" s="31" t="s">
        <v>55</v>
      </c>
      <c r="C215" s="31" t="s">
        <v>94</v>
      </c>
      <c r="E215" t="s">
        <v>93</v>
      </c>
      <c r="F215" t="str">
        <f t="shared" si="0"/>
        <v xml:space="preserve">     Mayor a 500 SMLMV </v>
      </c>
    </row>
    <row r="216" spans="1:8" ht="21" x14ac:dyDescent="0.35">
      <c r="A216" s="84"/>
      <c r="B216" s="31" t="s">
        <v>55</v>
      </c>
      <c r="C216" s="31" t="s">
        <v>95</v>
      </c>
      <c r="D216" t="s">
        <v>55</v>
      </c>
      <c r="F216" t="str">
        <f t="shared" si="0"/>
        <v>Pérdida Reputacional</v>
      </c>
    </row>
    <row r="217" spans="1:8" ht="21" x14ac:dyDescent="0.35">
      <c r="A217" s="84"/>
      <c r="B217" s="31" t="s">
        <v>55</v>
      </c>
      <c r="C217" s="31" t="s">
        <v>97</v>
      </c>
      <c r="E217" t="s">
        <v>94</v>
      </c>
      <c r="F217" t="str">
        <f t="shared" si="0"/>
        <v xml:space="preserve">     El riesgo afecta la imagen de alguna área de la organización</v>
      </c>
    </row>
    <row r="218" spans="1:8" ht="21" x14ac:dyDescent="0.35">
      <c r="A218" s="84"/>
      <c r="B218" s="31" t="s">
        <v>55</v>
      </c>
      <c r="C218" s="31" t="s">
        <v>96</v>
      </c>
      <c r="E218" t="s">
        <v>95</v>
      </c>
      <c r="F218" t="str">
        <f t="shared" si="0"/>
        <v xml:space="preserve">     El riesgo afecta la imagen de la entidad internamente, de conocimiento general, nivel interno, de junta dircetiva y accionistas y/o de provedores</v>
      </c>
    </row>
    <row r="219" spans="1:8" ht="21" x14ac:dyDescent="0.35">
      <c r="A219" s="84"/>
      <c r="B219" s="31" t="s">
        <v>55</v>
      </c>
      <c r="C219" s="31" t="s">
        <v>110</v>
      </c>
      <c r="E219" t="s">
        <v>97</v>
      </c>
      <c r="F219" t="str">
        <f t="shared" si="0"/>
        <v xml:space="preserve">     El riesgo afecta la imagen de la entidad con algunos usuarios de relevancia frente al logro de los objetivos</v>
      </c>
    </row>
    <row r="220" spans="1:8" x14ac:dyDescent="0.25">
      <c r="A220" s="84"/>
      <c r="B220" s="32"/>
      <c r="C220" s="32"/>
      <c r="E220" t="s">
        <v>96</v>
      </c>
      <c r="F220" t="str">
        <f t="shared" si="0"/>
        <v xml:space="preserve">     El riesgo afecta la imagen de de la entidad con efecto publicitario sostenido a nivel de sector administrativo, nivel departamental o municipal</v>
      </c>
    </row>
    <row r="221" spans="1:8" x14ac:dyDescent="0.25">
      <c r="A221" s="84"/>
      <c r="B221" s="32" t="e" cm="1" vm="1">
        <f t="array" aca="1" ref="B221:B223" ca="1">_xlfn.UNIQUE(Tabla1[[#All],[Criterios]])</f>
        <v>#NAME?</v>
      </c>
      <c r="C221" s="32"/>
      <c r="E221" t="s">
        <v>110</v>
      </c>
      <c r="F221" t="str">
        <f t="shared" si="0"/>
        <v xml:space="preserve">     El riesgo afecta la imagen de la entidad a nivel nacional, con efecto publicitarios sostenible a nivel país</v>
      </c>
    </row>
    <row r="222" spans="1:8" x14ac:dyDescent="0.25">
      <c r="A222" s="84"/>
      <c r="B222" s="32" t="e" vm="1">
        <f ca="1"/>
        <v>#NAME?</v>
      </c>
      <c r="C222" s="32"/>
    </row>
    <row r="223" spans="1:8" x14ac:dyDescent="0.25">
      <c r="B223" s="32" t="e" vm="1">
        <f ca="1"/>
        <v>#NAME?</v>
      </c>
      <c r="C223" s="32"/>
      <c r="F223" s="35" t="s">
        <v>130</v>
      </c>
    </row>
    <row r="224" spans="1:8" x14ac:dyDescent="0.25">
      <c r="B224" s="22"/>
      <c r="C224" s="22"/>
      <c r="F224" s="35" t="s">
        <v>131</v>
      </c>
    </row>
    <row r="225" spans="2:4" x14ac:dyDescent="0.25">
      <c r="B225" s="22"/>
      <c r="C225" s="22"/>
    </row>
    <row r="226" spans="2:4" x14ac:dyDescent="0.25">
      <c r="B226" s="22"/>
      <c r="C226" s="22"/>
    </row>
    <row r="227" spans="2:4" x14ac:dyDescent="0.25">
      <c r="B227" s="22" t="s">
        <v>200</v>
      </c>
      <c r="C227" s="22"/>
      <c r="D227" s="22"/>
    </row>
    <row r="228" spans="2:4" x14ac:dyDescent="0.25">
      <c r="B228" t="s">
        <v>85</v>
      </c>
      <c r="C228" s="22" t="s">
        <v>128</v>
      </c>
      <c r="D228" s="33" t="s">
        <v>201</v>
      </c>
    </row>
    <row r="229" spans="2:4" x14ac:dyDescent="0.25">
      <c r="B229" s="150" t="s">
        <v>203</v>
      </c>
      <c r="C229" s="22" t="s">
        <v>193</v>
      </c>
      <c r="D229" s="148" t="s">
        <v>203</v>
      </c>
    </row>
    <row r="230" spans="2:4" x14ac:dyDescent="0.25">
      <c r="B230" s="150" t="s">
        <v>203</v>
      </c>
      <c r="C230" s="22" t="s">
        <v>194</v>
      </c>
      <c r="D230" s="149" t="s">
        <v>193</v>
      </c>
    </row>
    <row r="231" spans="2:4" x14ac:dyDescent="0.25">
      <c r="B231" s="150" t="s">
        <v>203</v>
      </c>
      <c r="C231" s="22" t="s">
        <v>195</v>
      </c>
      <c r="D231" s="149" t="s">
        <v>194</v>
      </c>
    </row>
    <row r="232" spans="2:4" x14ac:dyDescent="0.25">
      <c r="B232" s="150" t="s">
        <v>204</v>
      </c>
      <c r="C232" s="22" t="s">
        <v>196</v>
      </c>
      <c r="D232" s="149" t="s">
        <v>195</v>
      </c>
    </row>
    <row r="233" spans="2:4" x14ac:dyDescent="0.25">
      <c r="B233" s="150" t="s">
        <v>204</v>
      </c>
      <c r="C233" s="22" t="s">
        <v>197</v>
      </c>
      <c r="D233" s="148" t="s">
        <v>204</v>
      </c>
    </row>
    <row r="234" spans="2:4" x14ac:dyDescent="0.25">
      <c r="B234" s="150" t="s">
        <v>204</v>
      </c>
      <c r="C234" s="22" t="s">
        <v>198</v>
      </c>
      <c r="D234" s="149" t="s">
        <v>196</v>
      </c>
    </row>
    <row r="235" spans="2:4" x14ac:dyDescent="0.25">
      <c r="B235" s="150" t="s">
        <v>204</v>
      </c>
      <c r="C235" s="22" t="s">
        <v>199</v>
      </c>
      <c r="D235" s="149" t="s">
        <v>197</v>
      </c>
    </row>
    <row r="236" spans="2:4" x14ac:dyDescent="0.25">
      <c r="D236" s="149" t="s">
        <v>198</v>
      </c>
    </row>
    <row r="237" spans="2:4" x14ac:dyDescent="0.25">
      <c r="D237" s="149" t="s">
        <v>199</v>
      </c>
    </row>
    <row r="238" spans="2:4" x14ac:dyDescent="0.25">
      <c r="D238" s="148" t="s">
        <v>202</v>
      </c>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F4" sqref="F4:F6"/>
    </sheetView>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422" t="s">
        <v>205</v>
      </c>
      <c r="C1" s="423"/>
      <c r="D1" s="423"/>
      <c r="E1" s="423"/>
      <c r="F1" s="424"/>
    </row>
    <row r="2" spans="2:6" ht="16.5" thickBot="1" x14ac:dyDescent="0.3">
      <c r="B2" s="90"/>
      <c r="C2" s="90"/>
      <c r="D2" s="90"/>
      <c r="E2" s="90"/>
      <c r="F2" s="90"/>
    </row>
    <row r="3" spans="2:6" ht="16.5" thickBot="1" x14ac:dyDescent="0.25">
      <c r="B3" s="426" t="s">
        <v>62</v>
      </c>
      <c r="C3" s="427"/>
      <c r="D3" s="427"/>
      <c r="E3" s="102" t="s">
        <v>63</v>
      </c>
      <c r="F3" s="103" t="s">
        <v>64</v>
      </c>
    </row>
    <row r="4" spans="2:6" ht="31.5" x14ac:dyDescent="0.2">
      <c r="B4" s="428" t="s">
        <v>65</v>
      </c>
      <c r="C4" s="430" t="s">
        <v>12</v>
      </c>
      <c r="D4" s="91" t="s">
        <v>13</v>
      </c>
      <c r="E4" s="92" t="s">
        <v>66</v>
      </c>
      <c r="F4" s="93">
        <v>0.25</v>
      </c>
    </row>
    <row r="5" spans="2:6" ht="47.25" x14ac:dyDescent="0.2">
      <c r="B5" s="429"/>
      <c r="C5" s="431"/>
      <c r="D5" s="94" t="s">
        <v>14</v>
      </c>
      <c r="E5" s="95" t="s">
        <v>67</v>
      </c>
      <c r="F5" s="96">
        <v>0.15</v>
      </c>
    </row>
    <row r="6" spans="2:6" ht="47.25" x14ac:dyDescent="0.2">
      <c r="B6" s="429"/>
      <c r="C6" s="431"/>
      <c r="D6" s="94" t="s">
        <v>15</v>
      </c>
      <c r="E6" s="95" t="s">
        <v>68</v>
      </c>
      <c r="F6" s="96">
        <v>0.1</v>
      </c>
    </row>
    <row r="7" spans="2:6" ht="63" x14ac:dyDescent="0.2">
      <c r="B7" s="429"/>
      <c r="C7" s="431" t="s">
        <v>16</v>
      </c>
      <c r="D7" s="94" t="s">
        <v>9</v>
      </c>
      <c r="E7" s="95" t="s">
        <v>69</v>
      </c>
      <c r="F7" s="96">
        <v>0.25</v>
      </c>
    </row>
    <row r="8" spans="2:6" ht="31.5" x14ac:dyDescent="0.2">
      <c r="B8" s="429"/>
      <c r="C8" s="431"/>
      <c r="D8" s="94" t="s">
        <v>8</v>
      </c>
      <c r="E8" s="95" t="s">
        <v>70</v>
      </c>
      <c r="F8" s="96">
        <v>0.15</v>
      </c>
    </row>
    <row r="9" spans="2:6" ht="47.25" x14ac:dyDescent="0.2">
      <c r="B9" s="429" t="s">
        <v>145</v>
      </c>
      <c r="C9" s="431" t="s">
        <v>17</v>
      </c>
      <c r="D9" s="94" t="s">
        <v>18</v>
      </c>
      <c r="E9" s="95" t="s">
        <v>71</v>
      </c>
      <c r="F9" s="97" t="s">
        <v>72</v>
      </c>
    </row>
    <row r="10" spans="2:6" ht="63" x14ac:dyDescent="0.2">
      <c r="B10" s="429"/>
      <c r="C10" s="431"/>
      <c r="D10" s="94" t="s">
        <v>19</v>
      </c>
      <c r="E10" s="95" t="s">
        <v>73</v>
      </c>
      <c r="F10" s="97" t="s">
        <v>72</v>
      </c>
    </row>
    <row r="11" spans="2:6" ht="47.25" x14ac:dyDescent="0.2">
      <c r="B11" s="429"/>
      <c r="C11" s="431" t="s">
        <v>20</v>
      </c>
      <c r="D11" s="94" t="s">
        <v>21</v>
      </c>
      <c r="E11" s="95" t="s">
        <v>74</v>
      </c>
      <c r="F11" s="97" t="s">
        <v>72</v>
      </c>
    </row>
    <row r="12" spans="2:6" ht="47.25" x14ac:dyDescent="0.2">
      <c r="B12" s="429"/>
      <c r="C12" s="431"/>
      <c r="D12" s="94" t="s">
        <v>22</v>
      </c>
      <c r="E12" s="95" t="s">
        <v>75</v>
      </c>
      <c r="F12" s="97" t="s">
        <v>72</v>
      </c>
    </row>
    <row r="13" spans="2:6" ht="31.5" x14ac:dyDescent="0.2">
      <c r="B13" s="429"/>
      <c r="C13" s="431" t="s">
        <v>23</v>
      </c>
      <c r="D13" s="94" t="s">
        <v>111</v>
      </c>
      <c r="E13" s="95" t="s">
        <v>114</v>
      </c>
      <c r="F13" s="97" t="s">
        <v>72</v>
      </c>
    </row>
    <row r="14" spans="2:6" ht="32.25" thickBot="1" x14ac:dyDescent="0.25">
      <c r="B14" s="432"/>
      <c r="C14" s="433"/>
      <c r="D14" s="98" t="s">
        <v>112</v>
      </c>
      <c r="E14" s="99" t="s">
        <v>113</v>
      </c>
      <c r="F14" s="100" t="s">
        <v>72</v>
      </c>
    </row>
    <row r="15" spans="2:6" ht="49.5" customHeight="1" x14ac:dyDescent="0.2">
      <c r="B15" s="425" t="s">
        <v>142</v>
      </c>
      <c r="C15" s="425"/>
      <c r="D15" s="425"/>
      <c r="E15" s="425"/>
      <c r="F15" s="425"/>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DF99C-D2D6-4BA7-96EB-7943126AB39B}">
  <dimension ref="A1:G36"/>
  <sheetViews>
    <sheetView topLeftCell="D1" zoomScaleNormal="100" workbookViewId="0">
      <selection activeCell="E2" sqref="E2"/>
    </sheetView>
  </sheetViews>
  <sheetFormatPr baseColWidth="10" defaultRowHeight="15" x14ac:dyDescent="0.25"/>
  <cols>
    <col min="1" max="1" width="57.85546875" customWidth="1"/>
    <col min="3" max="3" width="32" bestFit="1" customWidth="1"/>
    <col min="4" max="4" width="119.28515625" bestFit="1" customWidth="1"/>
    <col min="5" max="5" width="81" customWidth="1"/>
  </cols>
  <sheetData>
    <row r="1" spans="1:5" ht="15.75" thickBot="1" x14ac:dyDescent="0.3">
      <c r="A1" s="144" t="s">
        <v>175</v>
      </c>
      <c r="D1" s="434" t="s">
        <v>176</v>
      </c>
      <c r="E1" s="435"/>
    </row>
    <row r="2" spans="1:5" x14ac:dyDescent="0.25">
      <c r="A2" s="153" t="s">
        <v>270</v>
      </c>
      <c r="D2" s="436" t="s">
        <v>177</v>
      </c>
      <c r="E2" s="152" t="s">
        <v>247</v>
      </c>
    </row>
    <row r="3" spans="1:5" x14ac:dyDescent="0.25">
      <c r="A3" s="154" t="s">
        <v>271</v>
      </c>
      <c r="D3" s="437"/>
      <c r="E3" s="152" t="s">
        <v>248</v>
      </c>
    </row>
    <row r="4" spans="1:5" x14ac:dyDescent="0.25">
      <c r="A4" s="154" t="s">
        <v>272</v>
      </c>
      <c r="D4" s="437"/>
      <c r="E4" s="152" t="s">
        <v>249</v>
      </c>
    </row>
    <row r="5" spans="1:5" x14ac:dyDescent="0.25">
      <c r="A5" s="155" t="s">
        <v>273</v>
      </c>
      <c r="D5" s="438"/>
      <c r="E5" s="152" t="s">
        <v>250</v>
      </c>
    </row>
    <row r="6" spans="1:5" ht="27" x14ac:dyDescent="0.25">
      <c r="A6" s="156" t="s">
        <v>274</v>
      </c>
      <c r="D6" s="436" t="s">
        <v>178</v>
      </c>
      <c r="E6" s="152" t="s">
        <v>251</v>
      </c>
    </row>
    <row r="7" spans="1:5" x14ac:dyDescent="0.25">
      <c r="A7" s="156" t="s">
        <v>275</v>
      </c>
      <c r="D7" s="437"/>
      <c r="E7" s="152" t="s">
        <v>252</v>
      </c>
    </row>
    <row r="8" spans="1:5" x14ac:dyDescent="0.25">
      <c r="A8" s="155" t="s">
        <v>276</v>
      </c>
      <c r="D8" s="437"/>
      <c r="E8" s="152" t="s">
        <v>253</v>
      </c>
    </row>
    <row r="9" spans="1:5" x14ac:dyDescent="0.25">
      <c r="A9" s="155" t="s">
        <v>277</v>
      </c>
      <c r="D9" s="436" t="s">
        <v>179</v>
      </c>
      <c r="E9" s="152" t="s">
        <v>254</v>
      </c>
    </row>
    <row r="10" spans="1:5" x14ac:dyDescent="0.25">
      <c r="A10" s="157" t="s">
        <v>278</v>
      </c>
      <c r="D10" s="437"/>
      <c r="E10" s="152" t="s">
        <v>255</v>
      </c>
    </row>
    <row r="11" spans="1:5" x14ac:dyDescent="0.25">
      <c r="A11" s="157" t="s">
        <v>279</v>
      </c>
      <c r="D11" s="436" t="s">
        <v>180</v>
      </c>
      <c r="E11" s="152" t="s">
        <v>256</v>
      </c>
    </row>
    <row r="12" spans="1:5" x14ac:dyDescent="0.25">
      <c r="A12" s="157" t="s">
        <v>280</v>
      </c>
      <c r="D12" s="437"/>
      <c r="E12" s="152" t="s">
        <v>257</v>
      </c>
    </row>
    <row r="13" spans="1:5" x14ac:dyDescent="0.25">
      <c r="A13" s="157" t="s">
        <v>281</v>
      </c>
      <c r="D13" s="438"/>
      <c r="E13" s="152" t="s">
        <v>258</v>
      </c>
    </row>
    <row r="14" spans="1:5" x14ac:dyDescent="0.25">
      <c r="A14" s="157" t="s">
        <v>282</v>
      </c>
      <c r="E14" s="152" t="s">
        <v>259</v>
      </c>
    </row>
    <row r="15" spans="1:5" x14ac:dyDescent="0.25">
      <c r="A15" s="157" t="s">
        <v>283</v>
      </c>
      <c r="D15" s="146" t="s">
        <v>184</v>
      </c>
      <c r="E15" s="152" t="s">
        <v>260</v>
      </c>
    </row>
    <row r="16" spans="1:5" x14ac:dyDescent="0.25">
      <c r="A16" s="157" t="s">
        <v>284</v>
      </c>
      <c r="D16" s="147" t="s">
        <v>185</v>
      </c>
      <c r="E16" s="152" t="s">
        <v>261</v>
      </c>
    </row>
    <row r="17" spans="1:7" ht="15.75" thickBot="1" x14ac:dyDescent="0.3">
      <c r="A17" s="158" t="s">
        <v>285</v>
      </c>
      <c r="D17" s="147" t="s">
        <v>186</v>
      </c>
      <c r="E17" s="152" t="s">
        <v>262</v>
      </c>
    </row>
    <row r="18" spans="1:7" x14ac:dyDescent="0.25">
      <c r="A18" s="145"/>
      <c r="D18" s="147" t="s">
        <v>187</v>
      </c>
      <c r="E18" s="152" t="s">
        <v>263</v>
      </c>
    </row>
    <row r="19" spans="1:7" x14ac:dyDescent="0.25">
      <c r="A19" s="145"/>
      <c r="D19" s="147" t="s">
        <v>188</v>
      </c>
      <c r="E19" s="152" t="s">
        <v>264</v>
      </c>
    </row>
    <row r="20" spans="1:7" x14ac:dyDescent="0.25">
      <c r="A20" s="145"/>
      <c r="D20" s="147" t="s">
        <v>189</v>
      </c>
      <c r="E20" s="152" t="s">
        <v>265</v>
      </c>
    </row>
    <row r="21" spans="1:7" x14ac:dyDescent="0.25">
      <c r="A21" s="147"/>
      <c r="D21" s="147" t="s">
        <v>190</v>
      </c>
      <c r="E21" s="152" t="s">
        <v>266</v>
      </c>
    </row>
    <row r="22" spans="1:7" x14ac:dyDescent="0.25">
      <c r="A22" s="145"/>
      <c r="D22" s="147" t="s">
        <v>191</v>
      </c>
      <c r="E22" s="152" t="s">
        <v>267</v>
      </c>
    </row>
    <row r="23" spans="1:7" x14ac:dyDescent="0.25">
      <c r="A23" s="151"/>
      <c r="E23" s="152" t="s">
        <v>268</v>
      </c>
    </row>
    <row r="24" spans="1:7" x14ac:dyDescent="0.25">
      <c r="A24" s="146" t="s">
        <v>192</v>
      </c>
      <c r="E24" s="152" t="s">
        <v>269</v>
      </c>
    </row>
    <row r="25" spans="1:7" ht="20.25" x14ac:dyDescent="0.25">
      <c r="A25" s="147" t="s">
        <v>185</v>
      </c>
      <c r="B25" s="30"/>
    </row>
    <row r="26" spans="1:7" ht="21" x14ac:dyDescent="0.35">
      <c r="A26" s="147" t="s">
        <v>186</v>
      </c>
      <c r="B26" s="31"/>
      <c r="F26" t="s">
        <v>87</v>
      </c>
      <c r="G26" t="str">
        <f ca="1">IF(NOT(ISERROR(MATCH(F26,_xlfn.ANCHORARRAY(A37),0))),E39&amp;"Por favor no seleccionar los criterios de impacto",F26)</f>
        <v>Afectación Económica o presupuestal</v>
      </c>
    </row>
    <row r="27" spans="1:7" ht="21" x14ac:dyDescent="0.35">
      <c r="A27" s="147" t="s">
        <v>187</v>
      </c>
      <c r="B27" s="31"/>
    </row>
    <row r="28" spans="1:7" ht="21" x14ac:dyDescent="0.35">
      <c r="A28" s="147" t="s">
        <v>188</v>
      </c>
      <c r="B28" s="31"/>
    </row>
    <row r="29" spans="1:7" ht="21" x14ac:dyDescent="0.35">
      <c r="A29" s="147" t="s">
        <v>189</v>
      </c>
      <c r="B29" s="31"/>
    </row>
    <row r="30" spans="1:7" ht="21" x14ac:dyDescent="0.35">
      <c r="A30" s="147" t="s">
        <v>190</v>
      </c>
      <c r="B30" s="31"/>
    </row>
    <row r="31" spans="1:7" ht="21" x14ac:dyDescent="0.35">
      <c r="A31" s="147" t="s">
        <v>191</v>
      </c>
      <c r="B31" s="31"/>
    </row>
    <row r="32" spans="1:7" ht="21" x14ac:dyDescent="0.35">
      <c r="A32" s="31"/>
      <c r="B32" s="31"/>
    </row>
    <row r="33" spans="1:2" ht="21" x14ac:dyDescent="0.35">
      <c r="A33" s="31"/>
      <c r="B33" s="31"/>
    </row>
    <row r="34" spans="1:2" ht="21" x14ac:dyDescent="0.35">
      <c r="A34" s="31"/>
      <c r="B34" s="31"/>
    </row>
    <row r="35" spans="1:2" ht="21" x14ac:dyDescent="0.35">
      <c r="A35" s="31"/>
      <c r="B35" s="31"/>
    </row>
    <row r="36" spans="1:2" x14ac:dyDescent="0.25">
      <c r="A36" s="32"/>
      <c r="B36" s="32"/>
    </row>
  </sheetData>
  <mergeCells count="5">
    <mergeCell ref="D1:E1"/>
    <mergeCell ref="D2:D5"/>
    <mergeCell ref="D6:D8"/>
    <mergeCell ref="D9:D10"/>
    <mergeCell ref="D11:D13"/>
  </mergeCells>
  <conditionalFormatting sqref="E2:E24">
    <cfRule type="duplicateValues" dxfId="0" priority="1"/>
  </conditionalFormatting>
  <dataValidations count="1">
    <dataValidation type="list" allowBlank="1" showInputMessage="1" showErrorMessage="1" sqref="F26" xr:uid="{3041C93A-0598-49D2-9F31-324C89A32034}">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211</v>
      </c>
    </row>
    <row r="13" spans="2:5" x14ac:dyDescent="0.25">
      <c r="B13" t="s">
        <v>212</v>
      </c>
    </row>
    <row r="14" spans="2:5" x14ac:dyDescent="0.25">
      <c r="B14" t="s">
        <v>213</v>
      </c>
    </row>
    <row r="15" spans="2:5" x14ac:dyDescent="0.25">
      <c r="B15" t="s">
        <v>214</v>
      </c>
    </row>
    <row r="16" spans="2:5" x14ac:dyDescent="0.25">
      <c r="B16" t="s">
        <v>215</v>
      </c>
    </row>
    <row r="17" spans="2:2" x14ac:dyDescent="0.25">
      <c r="B17" t="s">
        <v>216</v>
      </c>
    </row>
    <row r="18" spans="2:2" x14ac:dyDescent="0.25">
      <c r="B18" t="s">
        <v>217</v>
      </c>
    </row>
    <row r="19" spans="2:2" x14ac:dyDescent="0.25">
      <c r="B19" t="s">
        <v>218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FAMILIA AGAMEZ NUÑEZ</cp:lastModifiedBy>
  <cp:lastPrinted>2020-05-13T01:12:22Z</cp:lastPrinted>
  <dcterms:created xsi:type="dcterms:W3CDTF">2020-03-24T23:12:47Z</dcterms:created>
  <dcterms:modified xsi:type="dcterms:W3CDTF">2022-09-19T22:10:31Z</dcterms:modified>
</cp:coreProperties>
</file>